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i\County Abstracts_Complete\"/>
    </mc:Choice>
  </mc:AlternateContent>
  <xr:revisionPtr revIDLastSave="0" documentId="8_{35BCA366-B138-4D06-BE54-40524487309A}" xr6:coauthVersionLast="45" xr6:coauthVersionMax="45" xr10:uidLastSave="{00000000-0000-0000-0000-000000000000}"/>
  <bookViews>
    <workbookView xWindow="5520" yWindow="3075" windowWidth="21600" windowHeight="11385" tabRatio="891" xr2:uid="{00000000-000D-0000-FFFF-FFFF00000000}"/>
  </bookViews>
  <sheets>
    <sheet name="US Sen &amp; Rep" sheetId="1" r:id="rId1"/>
    <sheet name="Sup. Jdg &amp; App, Jdg" sheetId="23" r:id="rId2"/>
    <sheet name="Leg &amp; County" sheetId="19" r:id="rId3"/>
    <sheet name="Co. Sheriff &amp; Pros. Attorney" sheetId="24" r:id="rId4"/>
    <sheet name="Precinct" sheetId="29" r:id="rId5"/>
    <sheet name="Rockland &amp; American Falls" sheetId="28" r:id="rId6"/>
    <sheet name="Hospital Dist." sheetId="30" r:id="rId7"/>
    <sheet name="TENEX REPORT" sheetId="31" r:id="rId8"/>
  </sheets>
  <externalReferences>
    <externalReference r:id="rId9"/>
  </externalReferences>
  <definedNames>
    <definedName name="_xlnm.Print_Titles" localSheetId="2">'Leg &amp; County'!$1:$6</definedName>
    <definedName name="_xlnm.Print_Titles" localSheetId="1">'Sup. Jdg &amp; App, Jdg'!$A:$A</definedName>
    <definedName name="_xlnm.Print_Titles" localSheetId="0">'US Sen &amp; Rep'!$A:$A</definedName>
    <definedName name="TenexReport">'TENEX REPORT'!$A$3:$AH$12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" i="24" l="1"/>
  <c r="B11" i="24"/>
  <c r="B10" i="24"/>
  <c r="B9" i="24"/>
  <c r="B8" i="24"/>
  <c r="B7" i="24"/>
  <c r="B12" i="1"/>
  <c r="B11" i="1"/>
  <c r="B10" i="1"/>
  <c r="B9" i="1"/>
  <c r="B8" i="1"/>
  <c r="B7" i="1"/>
  <c r="C24" i="28" l="1"/>
  <c r="C23" i="28"/>
  <c r="C22" i="28"/>
  <c r="B24" i="28"/>
  <c r="B23" i="28"/>
  <c r="B22" i="28"/>
  <c r="G12" i="1"/>
  <c r="G11" i="1"/>
  <c r="G10" i="1"/>
  <c r="G9" i="1"/>
  <c r="G8" i="1"/>
  <c r="G7" i="1"/>
  <c r="C12" i="30"/>
  <c r="C11" i="30"/>
  <c r="C10" i="30"/>
  <c r="C9" i="30"/>
  <c r="C8" i="30"/>
  <c r="C7" i="30"/>
  <c r="B12" i="30"/>
  <c r="B11" i="30"/>
  <c r="B10" i="30"/>
  <c r="B9" i="30"/>
  <c r="B8" i="30"/>
  <c r="B7" i="30"/>
  <c r="D6" i="29"/>
  <c r="D4" i="29"/>
  <c r="H12" i="24"/>
  <c r="H11" i="24"/>
  <c r="H10" i="24"/>
  <c r="H9" i="24"/>
  <c r="H8" i="24"/>
  <c r="H7" i="24"/>
  <c r="G12" i="24"/>
  <c r="G11" i="24"/>
  <c r="G10" i="24"/>
  <c r="G9" i="24"/>
  <c r="G8" i="24"/>
  <c r="G7" i="24"/>
  <c r="E1" i="31"/>
  <c r="F1" i="31" s="1"/>
  <c r="G1" i="31" s="1"/>
  <c r="H1" i="31" s="1"/>
  <c r="I1" i="31" s="1"/>
  <c r="J1" i="31" s="1"/>
  <c r="K1" i="31" s="1"/>
  <c r="L1" i="31" s="1"/>
  <c r="M1" i="31" s="1"/>
  <c r="N1" i="31" s="1"/>
  <c r="O1" i="31" s="1"/>
  <c r="P1" i="31" s="1"/>
  <c r="Q1" i="31" s="1"/>
  <c r="R1" i="31" s="1"/>
  <c r="S1" i="31" s="1"/>
  <c r="T1" i="31" s="1"/>
  <c r="U1" i="31" s="1"/>
  <c r="V1" i="31" s="1"/>
  <c r="W1" i="31" s="1"/>
  <c r="X1" i="31" s="1"/>
  <c r="Y1" i="31" s="1"/>
  <c r="Z1" i="31" s="1"/>
  <c r="AA1" i="31" s="1"/>
  <c r="AB1" i="31" s="1"/>
  <c r="AC1" i="31" s="1"/>
  <c r="AD1" i="31" s="1"/>
  <c r="AE1" i="31" s="1"/>
  <c r="AF1" i="31" s="1"/>
  <c r="AG1" i="31" s="1"/>
  <c r="AH1" i="31" s="1"/>
  <c r="D1" i="31"/>
  <c r="F12" i="24"/>
  <c r="F11" i="24"/>
  <c r="F10" i="24"/>
  <c r="F9" i="24"/>
  <c r="F8" i="24"/>
  <c r="F7" i="24"/>
  <c r="E12" i="24"/>
  <c r="E11" i="24"/>
  <c r="E10" i="24"/>
  <c r="E9" i="24"/>
  <c r="E8" i="24"/>
  <c r="E7" i="24"/>
  <c r="D12" i="24"/>
  <c r="D11" i="24"/>
  <c r="D10" i="24"/>
  <c r="D9" i="24"/>
  <c r="D8" i="24"/>
  <c r="D7" i="24"/>
  <c r="C12" i="24"/>
  <c r="C11" i="24"/>
  <c r="C10" i="24"/>
  <c r="C9" i="24"/>
  <c r="C8" i="24"/>
  <c r="C7" i="24"/>
  <c r="G12" i="19"/>
  <c r="G11" i="19"/>
  <c r="G10" i="19"/>
  <c r="G9" i="19"/>
  <c r="G8" i="19"/>
  <c r="G7" i="19"/>
  <c r="F12" i="19"/>
  <c r="F11" i="19"/>
  <c r="F10" i="19"/>
  <c r="F9" i="19"/>
  <c r="F8" i="19"/>
  <c r="F7" i="19"/>
  <c r="E12" i="19"/>
  <c r="E11" i="19"/>
  <c r="E10" i="19"/>
  <c r="E9" i="19"/>
  <c r="E8" i="19"/>
  <c r="E7" i="19"/>
  <c r="D12" i="19"/>
  <c r="D11" i="19"/>
  <c r="D10" i="19"/>
  <c r="D9" i="19"/>
  <c r="D8" i="19"/>
  <c r="D7" i="19"/>
  <c r="C12" i="19"/>
  <c r="C11" i="19"/>
  <c r="C10" i="19"/>
  <c r="C9" i="19"/>
  <c r="C8" i="19"/>
  <c r="C7" i="19"/>
  <c r="B12" i="19"/>
  <c r="B11" i="19"/>
  <c r="B10" i="19"/>
  <c r="B9" i="19"/>
  <c r="B8" i="19"/>
  <c r="B7" i="19"/>
  <c r="D12" i="23"/>
  <c r="D11" i="23"/>
  <c r="D10" i="23"/>
  <c r="D9" i="23"/>
  <c r="D8" i="23"/>
  <c r="D7" i="23"/>
  <c r="C12" i="23"/>
  <c r="C11" i="23"/>
  <c r="C10" i="23"/>
  <c r="C9" i="23"/>
  <c r="C8" i="23"/>
  <c r="C7" i="23"/>
  <c r="B12" i="23"/>
  <c r="B11" i="23"/>
  <c r="B10" i="23"/>
  <c r="B9" i="23"/>
  <c r="B8" i="23"/>
  <c r="B7" i="23"/>
  <c r="F12" i="1"/>
  <c r="F11" i="1"/>
  <c r="F10" i="1"/>
  <c r="F9" i="1"/>
  <c r="F8" i="1"/>
  <c r="F7" i="1"/>
  <c r="E12" i="1"/>
  <c r="E11" i="1"/>
  <c r="E10" i="1"/>
  <c r="E9" i="1"/>
  <c r="E8" i="1"/>
  <c r="E7" i="1"/>
  <c r="C12" i="1"/>
  <c r="C11" i="1"/>
  <c r="C10" i="1"/>
  <c r="C9" i="1"/>
  <c r="C8" i="1"/>
  <c r="C7" i="1"/>
  <c r="D12" i="1"/>
  <c r="D11" i="1"/>
  <c r="D10" i="1"/>
  <c r="D9" i="1"/>
  <c r="D8" i="1"/>
  <c r="D7" i="1"/>
  <c r="G24" i="28" l="1"/>
  <c r="G23" i="28"/>
  <c r="G22" i="28"/>
  <c r="D24" i="28"/>
  <c r="D23" i="28"/>
  <c r="D22" i="28"/>
  <c r="E8" i="23"/>
  <c r="F8" i="23"/>
  <c r="H8" i="23"/>
  <c r="E9" i="23"/>
  <c r="F9" i="23"/>
  <c r="H9" i="23"/>
  <c r="E10" i="23"/>
  <c r="F10" i="23"/>
  <c r="H10" i="23"/>
  <c r="E11" i="23"/>
  <c r="F11" i="23"/>
  <c r="H11" i="23"/>
  <c r="E12" i="23"/>
  <c r="F12" i="23"/>
  <c r="H12" i="23"/>
  <c r="F7" i="23"/>
  <c r="H7" i="23"/>
  <c r="E7" i="23"/>
  <c r="E9" i="28" l="1"/>
  <c r="G9" i="28"/>
  <c r="D9" i="28"/>
  <c r="F8" i="30" l="1"/>
  <c r="G8" i="23" s="1"/>
  <c r="I8" i="23" s="1"/>
  <c r="F9" i="30"/>
  <c r="G9" i="23" s="1"/>
  <c r="I9" i="23" s="1"/>
  <c r="F10" i="30"/>
  <c r="F11" i="30"/>
  <c r="G11" i="23" s="1"/>
  <c r="I11" i="23" s="1"/>
  <c r="F12" i="30"/>
  <c r="G12" i="23" s="1"/>
  <c r="I12" i="23" s="1"/>
  <c r="F7" i="30"/>
  <c r="G7" i="23" s="1"/>
  <c r="I7" i="23" s="1"/>
  <c r="F23" i="28"/>
  <c r="F24" i="28"/>
  <c r="F22" i="28"/>
  <c r="C9" i="28"/>
  <c r="B9" i="28"/>
  <c r="G10" i="23" l="1"/>
  <c r="I10" i="23" s="1"/>
  <c r="F9" i="28"/>
  <c r="H13" i="24"/>
  <c r="C13" i="24"/>
  <c r="D13" i="24"/>
  <c r="E13" i="24"/>
  <c r="F13" i="24"/>
  <c r="C13" i="23"/>
  <c r="G13" i="1"/>
  <c r="F13" i="1"/>
  <c r="E13" i="1"/>
  <c r="G13" i="30"/>
  <c r="G15" i="30" s="1"/>
  <c r="E13" i="30"/>
  <c r="D13" i="30"/>
  <c r="F13" i="30" s="1"/>
  <c r="C13" i="30"/>
  <c r="B13" i="30"/>
  <c r="H12" i="30"/>
  <c r="H11" i="30"/>
  <c r="H10" i="30"/>
  <c r="H9" i="30"/>
  <c r="H8" i="30"/>
  <c r="H7" i="30"/>
  <c r="G28" i="28"/>
  <c r="G30" i="28" s="1"/>
  <c r="E28" i="28"/>
  <c r="D28" i="28"/>
  <c r="C28" i="28"/>
  <c r="B28" i="28"/>
  <c r="H27" i="28"/>
  <c r="F27" i="28"/>
  <c r="H26" i="28"/>
  <c r="F26" i="28"/>
  <c r="H25" i="28"/>
  <c r="F25" i="28"/>
  <c r="H24" i="28"/>
  <c r="H23" i="28"/>
  <c r="H22" i="28"/>
  <c r="H11" i="28"/>
  <c r="H10" i="28"/>
  <c r="H9" i="28"/>
  <c r="H8" i="28"/>
  <c r="H6" i="28"/>
  <c r="G13" i="19"/>
  <c r="G13" i="24"/>
  <c r="B13" i="24"/>
  <c r="D13" i="23"/>
  <c r="H7" i="28"/>
  <c r="G12" i="28"/>
  <c r="G14" i="28" s="1"/>
  <c r="E12" i="28"/>
  <c r="F7" i="28"/>
  <c r="F12" i="28" s="1"/>
  <c r="D12" i="28"/>
  <c r="C12" i="28"/>
  <c r="B12" i="28"/>
  <c r="E13" i="19"/>
  <c r="H13" i="23"/>
  <c r="F13" i="23"/>
  <c r="E13" i="23"/>
  <c r="B13" i="23"/>
  <c r="D13" i="19"/>
  <c r="C13" i="1"/>
  <c r="F13" i="19"/>
  <c r="C13" i="19"/>
  <c r="B13" i="19"/>
  <c r="B13" i="1"/>
  <c r="D13" i="1"/>
  <c r="G13" i="23" l="1"/>
  <c r="I13" i="23" s="1"/>
  <c r="H12" i="28"/>
  <c r="H13" i="30"/>
  <c r="F28" i="28"/>
  <c r="H28" i="28" s="1"/>
</calcChain>
</file>

<file path=xl/sharedStrings.xml><?xml version="1.0" encoding="utf-8"?>
<sst xmlns="http://schemas.openxmlformats.org/spreadsheetml/2006/main" count="280" uniqueCount="157">
  <si>
    <t>CO. TOTAL</t>
  </si>
  <si>
    <t>DEM</t>
  </si>
  <si>
    <t>REP</t>
  </si>
  <si>
    <t>ATTORNEY</t>
  </si>
  <si>
    <t>VOTING</t>
  </si>
  <si>
    <t>STATISTICS</t>
  </si>
  <si>
    <t>Precinct</t>
  </si>
  <si>
    <t>ST REP A</t>
  </si>
  <si>
    <t>ST REP B</t>
  </si>
  <si>
    <t>APPELLATE</t>
  </si>
  <si>
    <t>JUSTICE</t>
  </si>
  <si>
    <t>Total Number of Registered Voters at Cutoff</t>
  </si>
  <si>
    <t>Number Election
Day Registrants</t>
  </si>
  <si>
    <t>% of Registered
Voters That Voted</t>
  </si>
  <si>
    <t>ST SEN</t>
  </si>
  <si>
    <t>SUPREME COURT</t>
  </si>
  <si>
    <t>To Succeed:</t>
  </si>
  <si>
    <t>COURT JUDGE</t>
  </si>
  <si>
    <t>Total Number of
Registered Voters</t>
  </si>
  <si>
    <t>Number of
Ballots Cast</t>
  </si>
  <si>
    <t>COUNTY</t>
  </si>
  <si>
    <t>COMMISSIONER</t>
  </si>
  <si>
    <t>PRECINCT COMMITTEEMAN</t>
  </si>
  <si>
    <t>PRECINCT</t>
  </si>
  <si>
    <t>PARTY</t>
  </si>
  <si>
    <t>CANDIDATE NAME</t>
  </si>
  <si>
    <t>VOTES RECEIVED</t>
  </si>
  <si>
    <t>UNITED STATES</t>
  </si>
  <si>
    <t>REPRESENTATIVE</t>
  </si>
  <si>
    <t>DIST 1</t>
  </si>
  <si>
    <t>DISTRICT 2</t>
  </si>
  <si>
    <t>Mike Simpson</t>
  </si>
  <si>
    <t>LEGISLATIVE DIST 28</t>
  </si>
  <si>
    <t>Jim Guthrie</t>
  </si>
  <si>
    <t>Republican</t>
  </si>
  <si>
    <t>Rockland School</t>
  </si>
  <si>
    <t>District #382</t>
  </si>
  <si>
    <t>Supplemental Levy</t>
  </si>
  <si>
    <t>Paulette Jordan</t>
  </si>
  <si>
    <t>Mike Saville</t>
  </si>
  <si>
    <t>Randy Armstrong</t>
  </si>
  <si>
    <t>Kevin Andrus</t>
  </si>
  <si>
    <t>Total # absentee ballots cast</t>
  </si>
  <si>
    <t xml:space="preserve">Total # absentee ballots </t>
  </si>
  <si>
    <t>Yes</t>
  </si>
  <si>
    <t>No</t>
  </si>
  <si>
    <t>CITY OF</t>
  </si>
  <si>
    <t>AMERICAN FALLS</t>
  </si>
  <si>
    <t>URBAN RENEWEL</t>
  </si>
  <si>
    <t>In Favor</t>
  </si>
  <si>
    <t>Against</t>
  </si>
  <si>
    <t>POWER COUNTY</t>
  </si>
  <si>
    <t>HOSPITAL DISTRICT</t>
  </si>
  <si>
    <t>GENERAL OBLIGATION</t>
  </si>
  <si>
    <t>BOND</t>
  </si>
  <si>
    <t>YES</t>
  </si>
  <si>
    <t>NO</t>
  </si>
  <si>
    <t>SENATOR</t>
  </si>
  <si>
    <t>Jim Vandermaas</t>
  </si>
  <si>
    <t>Jim Risch</t>
  </si>
  <si>
    <t>C. Aaron Swisher</t>
  </si>
  <si>
    <t>Kevin Rhoades</t>
  </si>
  <si>
    <t>To Succeed</t>
  </si>
  <si>
    <t>John R. Stegner</t>
  </si>
  <si>
    <t>Gregory W. Moeller</t>
  </si>
  <si>
    <t>Amanda K. Brailsford</t>
  </si>
  <si>
    <t>Ron J.Funk</t>
  </si>
  <si>
    <t>DIST 2</t>
  </si>
  <si>
    <t>William W. "Bill" Lasley</t>
  </si>
  <si>
    <t>SHERIFF</t>
  </si>
  <si>
    <t>Russell M. "Max" Sprague</t>
  </si>
  <si>
    <t>Joshua R. Campbell</t>
  </si>
  <si>
    <t>John Canfield</t>
  </si>
  <si>
    <t>Jesse M. Johnston</t>
  </si>
  <si>
    <t>Gary T. Krell</t>
  </si>
  <si>
    <t>PROSECUTING</t>
  </si>
  <si>
    <t>Anson L. Call II</t>
  </si>
  <si>
    <t>Abe D. Luca</t>
  </si>
  <si>
    <t>Mary L. Morrical</t>
  </si>
  <si>
    <t>Charles W. "Bill" Funk</t>
  </si>
  <si>
    <t>UNOFFICIAL ELECTION RESULTS</t>
  </si>
  <si>
    <t>United States Senator-Democratic</t>
  </si>
  <si>
    <t>United States Representative-District 2-Democratic</t>
  </si>
  <si>
    <t>Legislative District #28 State Representative Seat A-Democratic</t>
  </si>
  <si>
    <t>CO COMMISSIONER 1ST DIST</t>
  </si>
  <si>
    <t>COUNTY SHERIFF</t>
  </si>
  <si>
    <t>United States Senator-Republican</t>
  </si>
  <si>
    <t>United States Representative-District 2-Republican</t>
  </si>
  <si>
    <t>Legislative District #28 Senator-Republican</t>
  </si>
  <si>
    <t>Legislative District #28 State Representative Seat A-Republican</t>
  </si>
  <si>
    <t>Legislative District #28 State Representative Seat B-Republican</t>
  </si>
  <si>
    <t>CO COMMISSIONER 2ND DIST</t>
  </si>
  <si>
    <t>PROSECUTING ATTORNEY</t>
  </si>
  <si>
    <t>PCT COMMITTEEMAN Precinct 1 - City Hall</t>
  </si>
  <si>
    <t>PCT COMMITTEEMAN Precinct 3 - Annex</t>
  </si>
  <si>
    <t>Supreme Court Justice-Moeller</t>
  </si>
  <si>
    <t>Supreme Court Justice-Stegner</t>
  </si>
  <si>
    <t>Appellate Court Judge</t>
  </si>
  <si>
    <t>COUNTY HOSPITAL DIST BOND MUST HAVE 66.67% TO PASS</t>
  </si>
  <si>
    <t>ROCKLAND SD #382 SUPP LEVY</t>
  </si>
  <si>
    <t>AMERICAN FALLS CITY PROP 1</t>
  </si>
  <si>
    <t>Precinct Name</t>
  </si>
  <si>
    <t>Ballots Cast</t>
  </si>
  <si>
    <t>Registered Voters</t>
  </si>
  <si>
    <t>Ronald J. Funk</t>
  </si>
  <si>
    <t>Max Sprague</t>
  </si>
  <si>
    <t>William "Bill" Lasley</t>
  </si>
  <si>
    <t>Joshua Campbell</t>
  </si>
  <si>
    <t>Jesse Johnston</t>
  </si>
  <si>
    <t>Gary Krell</t>
  </si>
  <si>
    <t>Abe Luca</t>
  </si>
  <si>
    <t>Bill Funk</t>
  </si>
  <si>
    <t>YES, IN FAVOR OF</t>
  </si>
  <si>
    <t>NO, AGAINST</t>
  </si>
  <si>
    <t>IN FAVOR OF</t>
  </si>
  <si>
    <t>AGAINST</t>
  </si>
  <si>
    <t>Precinct 1 - City Hall</t>
  </si>
  <si>
    <t>Precinct 2 - Library</t>
  </si>
  <si>
    <t>Precinct 3 - Annex</t>
  </si>
  <si>
    <t>Precinct 4 - Rockland City Hal</t>
  </si>
  <si>
    <t>Precinct 6 - Pocatello Airport</t>
  </si>
  <si>
    <t>Grand Total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</si>
  <si>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</si>
  <si>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</si>
  <si>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</si>
  <si>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</si>
  <si>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</si>
  <si>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</si>
  <si>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</si>
  <si>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</si>
  <si>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</si>
  <si>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</si>
  <si>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</si>
  <si>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</si>
  <si>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</si>
  <si>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</si>
  <si>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</si>
  <si>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</si>
  <si>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</si>
  <si>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</si>
  <si>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</si>
  <si>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</si>
  <si>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</si>
  <si>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</si>
  <si>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</si>
  <si>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</si>
  <si>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</si>
  <si>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</si>
  <si>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</si>
  <si>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</si>
  <si>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</si>
  <si>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</si>
  <si>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</si>
  <si>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</si>
  <si>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</si>
  <si>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18</t>
  </si>
  <si>
    <t>Precinct 5 - Arbon Bible Church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</si>
</sst>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11"/>
      <color theme="1"/>
      <name val="Calibri"/>
      <family val="2"/>
      <scheme val="minor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name val="Arial"/>
      <family val="2"/>
    </font>
    <font>
      <sz val="8.25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0F0F0"/>
      </patternFill>
    </fill>
    <fill>
      <patternFill patternType="solid">
        <fgColor rgb="FFFFFFFF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2">
    <xf numFmtId="0" fontId="0" fillId="0" borderId="0"/>
    <xf numFmtId="0" fontId="1" fillId="0" borderId="0"/>
  </cellStyleXfs>
  <cellXfs count="156">
    <xf numFmtId="0" fontId="0" fillId="0" borderId="0" xfId="0"/>
    <xf numFmtId="3" fontId="3" fillId="0" borderId="1" xfId="0" applyNumberFormat="1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 vertical="center" textRotation="90" wrapText="1"/>
    </xf>
    <xf numFmtId="1" fontId="3" fillId="0" borderId="3" xfId="0" applyNumberFormat="1" applyFont="1" applyFill="1" applyBorder="1" applyAlignment="1" applyProtection="1">
      <alignment horizontal="center" vertical="center" textRotation="90" wrapText="1"/>
    </xf>
    <xf numFmtId="0" fontId="3" fillId="0" borderId="2" xfId="0" applyFont="1" applyFill="1" applyBorder="1" applyAlignment="1" applyProtection="1">
      <alignment horizontal="center" vertical="center" textRotation="90"/>
    </xf>
    <xf numFmtId="0" fontId="3" fillId="0" borderId="2" xfId="0" applyFont="1" applyFill="1" applyBorder="1" applyAlignment="1" applyProtection="1">
      <alignment horizontal="center" vertical="center" textRotation="90" wrapText="1"/>
    </xf>
    <xf numFmtId="3" fontId="5" fillId="0" borderId="2" xfId="0" applyNumberFormat="1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alignment vertical="center" textRotation="90"/>
      <protection locked="0"/>
    </xf>
    <xf numFmtId="3" fontId="4" fillId="2" borderId="5" xfId="0" applyNumberFormat="1" applyFont="1" applyFill="1" applyBorder="1" applyAlignment="1" applyProtection="1">
      <alignment horizontal="left"/>
    </xf>
    <xf numFmtId="3" fontId="3" fillId="2" borderId="6" xfId="0" applyNumberFormat="1" applyFont="1" applyFill="1" applyBorder="1" applyAlignment="1" applyProtection="1"/>
    <xf numFmtId="3" fontId="3" fillId="2" borderId="7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3" fontId="5" fillId="0" borderId="2" xfId="0" applyNumberFormat="1" applyFont="1" applyBorder="1" applyAlignment="1" applyProtection="1">
      <alignment horizontal="center"/>
    </xf>
    <xf numFmtId="3" fontId="3" fillId="0" borderId="8" xfId="0" applyNumberFormat="1" applyFont="1" applyBorder="1" applyAlignment="1" applyProtection="1">
      <alignment horizontal="center"/>
      <protection locked="0"/>
    </xf>
    <xf numFmtId="3" fontId="3" fillId="0" borderId="9" xfId="0" applyNumberFormat="1" applyFont="1" applyBorder="1" applyAlignment="1" applyProtection="1">
      <alignment horizontal="center"/>
      <protection locked="0"/>
    </xf>
    <xf numFmtId="164" fontId="3" fillId="0" borderId="1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3" fontId="3" fillId="0" borderId="10" xfId="0" applyNumberFormat="1" applyFont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/>
    <xf numFmtId="0" fontId="4" fillId="0" borderId="0" xfId="0" applyFont="1" applyFill="1" applyBorder="1" applyAlignment="1" applyProtection="1">
      <protection locked="0"/>
    </xf>
    <xf numFmtId="0" fontId="4" fillId="0" borderId="13" xfId="0" applyFont="1" applyFill="1" applyBorder="1" applyAlignment="1" applyProtection="1"/>
    <xf numFmtId="0" fontId="3" fillId="0" borderId="13" xfId="0" applyFont="1" applyFill="1" applyBorder="1" applyAlignment="1" applyProtection="1">
      <alignment horizontal="left"/>
    </xf>
    <xf numFmtId="0" fontId="4" fillId="0" borderId="14" xfId="0" applyFont="1" applyFill="1" applyBorder="1" applyAlignment="1" applyProtection="1">
      <alignment horizontal="center" vertical="center"/>
    </xf>
    <xf numFmtId="3" fontId="3" fillId="0" borderId="15" xfId="0" applyNumberFormat="1" applyFont="1" applyBorder="1" applyAlignment="1" applyProtection="1">
      <alignment horizontal="center"/>
      <protection locked="0"/>
    </xf>
    <xf numFmtId="3" fontId="5" fillId="0" borderId="0" xfId="0" applyNumberFormat="1" applyFont="1" applyFill="1" applyBorder="1" applyAlignment="1" applyProtection="1">
      <alignment horizontal="left"/>
    </xf>
    <xf numFmtId="0" fontId="3" fillId="0" borderId="0" xfId="0" applyFont="1" applyBorder="1" applyAlignment="1" applyProtection="1">
      <protection locked="0"/>
    </xf>
    <xf numFmtId="0" fontId="3" fillId="0" borderId="16" xfId="0" applyFont="1" applyFill="1" applyBorder="1" applyAlignment="1" applyProtection="1">
      <alignment horizontal="left"/>
    </xf>
    <xf numFmtId="0" fontId="4" fillId="0" borderId="1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/>
    <xf numFmtId="3" fontId="6" fillId="2" borderId="6" xfId="0" applyNumberFormat="1" applyFont="1" applyFill="1" applyBorder="1" applyAlignment="1" applyProtection="1"/>
    <xf numFmtId="3" fontId="6" fillId="2" borderId="7" xfId="0" applyNumberFormat="1" applyFont="1" applyFill="1" applyBorder="1" applyAlignment="1" applyProtection="1"/>
    <xf numFmtId="3" fontId="4" fillId="2" borderId="6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/>
    <xf numFmtId="3" fontId="5" fillId="0" borderId="0" xfId="0" applyNumberFormat="1" applyFont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left"/>
    </xf>
    <xf numFmtId="3" fontId="5" fillId="0" borderId="3" xfId="0" applyNumberFormat="1" applyFont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left"/>
      <protection locked="0"/>
    </xf>
    <xf numFmtId="0" fontId="4" fillId="0" borderId="20" xfId="0" applyFont="1" applyFill="1" applyBorder="1" applyAlignment="1" applyProtection="1">
      <alignment horizontal="center"/>
    </xf>
    <xf numFmtId="0" fontId="4" fillId="0" borderId="21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left"/>
    </xf>
    <xf numFmtId="0" fontId="3" fillId="0" borderId="8" xfId="0" applyFont="1" applyFill="1" applyBorder="1" applyAlignment="1" applyProtection="1">
      <alignment horizontal="center"/>
      <protection locked="0"/>
    </xf>
    <xf numFmtId="0" fontId="3" fillId="0" borderId="17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3" fillId="0" borderId="1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 textRotation="90"/>
      <protection locked="0"/>
    </xf>
    <xf numFmtId="0" fontId="3" fillId="0" borderId="2" xfId="0" applyFont="1" applyFill="1" applyBorder="1" applyAlignment="1" applyProtection="1">
      <alignment horizontal="center" vertical="center" textRotation="90" wrapText="1"/>
      <protection locked="0"/>
    </xf>
    <xf numFmtId="0" fontId="3" fillId="0" borderId="12" xfId="0" applyFont="1" applyFill="1" applyBorder="1" applyAlignment="1" applyProtection="1">
      <alignment horizontal="center" vertical="center" textRotation="90" wrapText="1"/>
      <protection locked="0"/>
    </xf>
    <xf numFmtId="3" fontId="5" fillId="0" borderId="23" xfId="0" applyNumberFormat="1" applyFont="1" applyBorder="1" applyAlignment="1" applyProtection="1">
      <alignment horizontal="center"/>
    </xf>
    <xf numFmtId="164" fontId="3" fillId="0" borderId="11" xfId="0" applyNumberFormat="1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protection locked="0"/>
    </xf>
    <xf numFmtId="0" fontId="4" fillId="0" borderId="11" xfId="0" quotePrefix="1" applyFont="1" applyFill="1" applyBorder="1" applyAlignment="1" applyProtection="1">
      <alignment horizontal="left"/>
    </xf>
    <xf numFmtId="0" fontId="4" fillId="0" borderId="26" xfId="0" applyFont="1" applyFill="1" applyBorder="1" applyAlignment="1" applyProtection="1">
      <alignment horizontal="center"/>
    </xf>
    <xf numFmtId="0" fontId="4" fillId="0" borderId="27" xfId="0" applyFont="1" applyFill="1" applyBorder="1" applyAlignment="1" applyProtection="1">
      <alignment horizontal="center"/>
    </xf>
    <xf numFmtId="0" fontId="4" fillId="0" borderId="23" xfId="0" applyFont="1" applyFill="1" applyBorder="1" applyAlignment="1" applyProtection="1">
      <alignment horizontal="center"/>
    </xf>
    <xf numFmtId="0" fontId="3" fillId="0" borderId="12" xfId="0" applyFont="1" applyBorder="1" applyAlignment="1">
      <alignment horizontal="left"/>
    </xf>
    <xf numFmtId="0" fontId="4" fillId="0" borderId="4" xfId="0" applyFont="1" applyBorder="1"/>
    <xf numFmtId="0" fontId="3" fillId="0" borderId="16" xfId="0" applyFont="1" applyBorder="1" applyAlignment="1">
      <alignment horizontal="left"/>
    </xf>
    <xf numFmtId="0" fontId="4" fillId="0" borderId="13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textRotation="90" wrapText="1"/>
    </xf>
    <xf numFmtId="1" fontId="3" fillId="0" borderId="3" xfId="0" applyNumberFormat="1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3" fontId="4" fillId="2" borderId="5" xfId="0" applyNumberFormat="1" applyFont="1" applyFill="1" applyBorder="1" applyAlignment="1">
      <alignment horizontal="left"/>
    </xf>
    <xf numFmtId="3" fontId="3" fillId="2" borderId="6" xfId="0" applyNumberFormat="1" applyFont="1" applyFill="1" applyBorder="1"/>
    <xf numFmtId="3" fontId="3" fillId="2" borderId="7" xfId="0" applyNumberFormat="1" applyFont="1" applyFill="1" applyBorder="1"/>
    <xf numFmtId="164" fontId="3" fillId="0" borderId="10" xfId="0" applyNumberFormat="1" applyFont="1" applyBorder="1" applyAlignment="1">
      <alignment horizontal="center"/>
    </xf>
    <xf numFmtId="3" fontId="3" fillId="0" borderId="28" xfId="0" applyNumberFormat="1" applyFont="1" applyBorder="1" applyAlignment="1" applyProtection="1">
      <alignment horizontal="center"/>
      <protection locked="0"/>
    </xf>
    <xf numFmtId="3" fontId="5" fillId="0" borderId="2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3" fillId="0" borderId="13" xfId="0" applyFont="1" applyFill="1" applyBorder="1" applyAlignment="1" applyProtection="1">
      <alignment horizontal="center"/>
    </xf>
    <xf numFmtId="1" fontId="3" fillId="0" borderId="30" xfId="0" applyNumberFormat="1" applyFont="1" applyFill="1" applyBorder="1" applyAlignment="1" applyProtection="1">
      <alignment horizontal="center" vertical="center" textRotation="90" wrapText="1"/>
    </xf>
    <xf numFmtId="0" fontId="3" fillId="0" borderId="17" xfId="0" applyFont="1" applyFill="1" applyBorder="1" applyAlignment="1" applyProtection="1">
      <alignment horizontal="left"/>
    </xf>
    <xf numFmtId="3" fontId="3" fillId="0" borderId="17" xfId="0" applyNumberFormat="1" applyFont="1" applyBorder="1" applyAlignment="1" applyProtection="1">
      <alignment horizontal="center"/>
      <protection locked="0"/>
    </xf>
    <xf numFmtId="3" fontId="3" fillId="3" borderId="8" xfId="0" applyNumberFormat="1" applyFont="1" applyFill="1" applyBorder="1" applyAlignment="1" applyProtection="1"/>
    <xf numFmtId="3" fontId="3" fillId="3" borderId="15" xfId="0" applyNumberFormat="1" applyFont="1" applyFill="1" applyBorder="1" applyAlignment="1" applyProtection="1">
      <alignment horizontal="center"/>
      <protection locked="0"/>
    </xf>
    <xf numFmtId="3" fontId="3" fillId="3" borderId="1" xfId="0" applyNumberFormat="1" applyFont="1" applyFill="1" applyBorder="1" applyAlignment="1" applyProtection="1">
      <alignment horizontal="center"/>
      <protection locked="0"/>
    </xf>
    <xf numFmtId="3" fontId="3" fillId="3" borderId="24" xfId="0" applyNumberFormat="1" applyFont="1" applyFill="1" applyBorder="1" applyAlignment="1" applyProtection="1">
      <alignment horizontal="center"/>
    </xf>
    <xf numFmtId="0" fontId="3" fillId="3" borderId="25" xfId="0" applyFont="1" applyFill="1" applyBorder="1" applyAlignment="1" applyProtection="1">
      <alignment horizontal="center"/>
      <protection locked="0"/>
    </xf>
    <xf numFmtId="164" fontId="3" fillId="3" borderId="11" xfId="0" applyNumberFormat="1" applyFont="1" applyFill="1" applyBorder="1" applyAlignment="1" applyProtection="1">
      <alignment horizontal="center"/>
    </xf>
    <xf numFmtId="164" fontId="3" fillId="3" borderId="4" xfId="0" applyNumberFormat="1" applyFont="1" applyFill="1" applyBorder="1" applyAlignment="1" applyProtection="1">
      <alignment horizontal="center"/>
    </xf>
    <xf numFmtId="3" fontId="6" fillId="3" borderId="8" xfId="0" applyNumberFormat="1" applyFont="1" applyFill="1" applyBorder="1" applyAlignment="1" applyProtection="1"/>
    <xf numFmtId="164" fontId="3" fillId="3" borderId="29" xfId="0" applyNumberFormat="1" applyFont="1" applyFill="1" applyBorder="1" applyAlignment="1" applyProtection="1">
      <alignment horizontal="center"/>
    </xf>
    <xf numFmtId="3" fontId="3" fillId="3" borderId="11" xfId="0" applyNumberFormat="1" applyFont="1" applyFill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  <protection locked="0"/>
    </xf>
    <xf numFmtId="3" fontId="3" fillId="3" borderId="28" xfId="0" applyNumberFormat="1" applyFont="1" applyFill="1" applyBorder="1" applyAlignment="1" applyProtection="1">
      <alignment horizontal="center"/>
      <protection locked="0"/>
    </xf>
    <xf numFmtId="3" fontId="3" fillId="3" borderId="10" xfId="0" applyNumberFormat="1" applyFont="1" applyFill="1" applyBorder="1" applyAlignment="1" applyProtection="1">
      <alignment horizontal="center"/>
      <protection locked="0"/>
    </xf>
    <xf numFmtId="3" fontId="3" fillId="3" borderId="10" xfId="0" applyNumberFormat="1" applyFont="1" applyFill="1" applyBorder="1" applyAlignment="1">
      <alignment horizontal="center"/>
    </xf>
    <xf numFmtId="164" fontId="3" fillId="3" borderId="10" xfId="0" applyNumberFormat="1" applyFont="1" applyFill="1" applyBorder="1" applyAlignment="1">
      <alignment horizontal="center"/>
    </xf>
    <xf numFmtId="3" fontId="3" fillId="3" borderId="17" xfId="0" applyNumberFormat="1" applyFont="1" applyFill="1" applyBorder="1" applyAlignment="1" applyProtection="1">
      <alignment horizontal="center"/>
      <protection locked="0"/>
    </xf>
    <xf numFmtId="3" fontId="3" fillId="0" borderId="8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 applyProtection="1">
      <alignment horizontal="center"/>
      <protection locked="0"/>
    </xf>
    <xf numFmtId="3" fontId="3" fillId="0" borderId="2" xfId="0" applyNumberFormat="1" applyFont="1" applyFill="1" applyBorder="1" applyAlignment="1" applyProtection="1">
      <protection locked="0"/>
    </xf>
    <xf numFmtId="0" fontId="1" fillId="0" borderId="0" xfId="1"/>
    <xf numFmtId="49" fontId="7" fillId="4" borderId="33" xfId="1" applyNumberFormat="1" applyFont="1" applyFill="1" applyBorder="1" applyAlignment="1">
      <alignment horizontal="left" vertical="center"/>
    </xf>
    <xf numFmtId="0" fontId="7" fillId="5" borderId="33" xfId="1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center"/>
    </xf>
    <xf numFmtId="0" fontId="4" fillId="0" borderId="19" xfId="0" applyFont="1" applyFill="1" applyBorder="1" applyAlignment="1" applyProtection="1">
      <alignment horizontal="center"/>
    </xf>
    <xf numFmtId="0" fontId="4" fillId="0" borderId="26" xfId="0" applyFont="1" applyFill="1" applyBorder="1" applyAlignment="1" applyProtection="1">
      <alignment horizontal="center"/>
    </xf>
    <xf numFmtId="0" fontId="4" fillId="0" borderId="31" xfId="0" applyFont="1" applyFill="1" applyBorder="1" applyAlignment="1" applyProtection="1">
      <alignment horizontal="center"/>
    </xf>
    <xf numFmtId="0" fontId="4" fillId="0" borderId="13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32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31" xfId="0" applyFont="1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4" fillId="0" borderId="18" xfId="0" applyFont="1" applyFill="1" applyBorder="1" applyAlignment="1" applyProtection="1">
      <alignment horizontal="center"/>
    </xf>
    <xf numFmtId="0" fontId="4" fillId="0" borderId="30" xfId="0" applyFont="1" applyFill="1" applyBorder="1" applyAlignment="1" applyProtection="1">
      <alignment horizontal="center"/>
    </xf>
    <xf numFmtId="0" fontId="4" fillId="0" borderId="23" xfId="0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4" fillId="0" borderId="27" xfId="0" applyFont="1" applyBorder="1" applyAlignment="1" applyProtection="1">
      <alignment horizontal="center"/>
    </xf>
    <xf numFmtId="0" fontId="4" fillId="0" borderId="30" xfId="0" applyFont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0" fontId="3" fillId="0" borderId="16" xfId="0" applyFont="1" applyFill="1" applyBorder="1" applyAlignment="1" applyProtection="1">
      <alignment horizontal="center"/>
      <protection locked="0"/>
    </xf>
    <xf numFmtId="0" fontId="3" fillId="0" borderId="18" xfId="0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  <protection locked="0"/>
    </xf>
    <xf numFmtId="0" fontId="3" fillId="0" borderId="30" xfId="0" applyFont="1" applyFill="1" applyBorder="1" applyAlignment="1" applyProtection="1">
      <alignment horizontal="center"/>
      <protection locked="0"/>
    </xf>
    <xf numFmtId="0" fontId="4" fillId="0" borderId="16" xfId="0" applyFont="1" applyFill="1" applyBorder="1" applyAlignment="1" applyProtection="1">
      <alignment horizontal="center"/>
      <protection locked="0"/>
    </xf>
    <xf numFmtId="0" fontId="4" fillId="0" borderId="19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49" fontId="7" fillId="4" borderId="33" xfId="1" applyNumberFormat="1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sprague\Downloads\precincts_112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NCTS"/>
      <sheetName val="TOTALS"/>
    </sheetNames>
    <sheetDataSet>
      <sheetData sheetId="0">
        <row r="3">
          <cell r="D3">
            <v>58</v>
          </cell>
        </row>
        <row r="149">
          <cell r="D149">
            <v>123</v>
          </cell>
        </row>
        <row r="150">
          <cell r="D150">
            <v>36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view="pageLayout" topLeftCell="A4" zoomScaleNormal="100" zoomScaleSheetLayoutView="100" workbookViewId="0">
      <selection activeCell="B7" sqref="B7"/>
    </sheetView>
  </sheetViews>
  <sheetFormatPr defaultColWidth="9.140625" defaultRowHeight="12.75" x14ac:dyDescent="0.2"/>
  <cols>
    <col min="1" max="1" width="22.28515625" style="16" bestFit="1" customWidth="1"/>
    <col min="2" max="7" width="8.7109375" style="31" customWidth="1"/>
    <col min="8" max="16384" width="9.140625" style="10"/>
  </cols>
  <sheetData>
    <row r="1" spans="1:7" x14ac:dyDescent="0.2">
      <c r="A1" s="23"/>
      <c r="B1" s="110"/>
      <c r="C1" s="110"/>
      <c r="D1" s="110"/>
      <c r="E1" s="110" t="s">
        <v>27</v>
      </c>
      <c r="F1" s="110"/>
      <c r="G1" s="110"/>
    </row>
    <row r="2" spans="1:7" s="25" customFormat="1" x14ac:dyDescent="0.2">
      <c r="A2" s="24"/>
      <c r="B2" s="111" t="s">
        <v>27</v>
      </c>
      <c r="C2" s="111"/>
      <c r="D2" s="111"/>
      <c r="E2" s="115" t="s">
        <v>28</v>
      </c>
      <c r="F2" s="116"/>
      <c r="G2" s="117"/>
    </row>
    <row r="3" spans="1:7" s="25" customFormat="1" x14ac:dyDescent="0.2">
      <c r="A3" s="26"/>
      <c r="B3" s="112" t="s">
        <v>57</v>
      </c>
      <c r="C3" s="113"/>
      <c r="D3" s="114"/>
      <c r="E3" s="112" t="s">
        <v>30</v>
      </c>
      <c r="F3" s="113"/>
      <c r="G3" s="114"/>
    </row>
    <row r="4" spans="1:7" ht="13.5" customHeight="1" x14ac:dyDescent="0.2">
      <c r="A4" s="27"/>
      <c r="B4" s="2" t="s">
        <v>1</v>
      </c>
      <c r="C4" s="2" t="s">
        <v>1</v>
      </c>
      <c r="D4" s="2" t="s">
        <v>2</v>
      </c>
      <c r="E4" s="2" t="s">
        <v>1</v>
      </c>
      <c r="F4" s="2" t="s">
        <v>2</v>
      </c>
      <c r="G4" s="2" t="s">
        <v>2</v>
      </c>
    </row>
    <row r="5" spans="1:7" s="11" customFormat="1" ht="88.15" customHeight="1" thickBot="1" x14ac:dyDescent="0.25">
      <c r="A5" s="28" t="s">
        <v>6</v>
      </c>
      <c r="B5" s="7" t="s">
        <v>38</v>
      </c>
      <c r="C5" s="7" t="s">
        <v>58</v>
      </c>
      <c r="D5" s="7" t="s">
        <v>59</v>
      </c>
      <c r="E5" s="7" t="s">
        <v>60</v>
      </c>
      <c r="F5" s="7" t="s">
        <v>61</v>
      </c>
      <c r="G5" s="7" t="s">
        <v>31</v>
      </c>
    </row>
    <row r="6" spans="1:7" s="15" customFormat="1" ht="13.5" thickBot="1" x14ac:dyDescent="0.25">
      <c r="A6" s="12"/>
      <c r="B6" s="13"/>
      <c r="C6" s="13"/>
      <c r="D6" s="13"/>
      <c r="E6" s="13"/>
      <c r="F6" s="13"/>
      <c r="G6" s="14"/>
    </row>
    <row r="7" spans="1:7" s="15" customFormat="1" x14ac:dyDescent="0.2">
      <c r="A7" s="1" t="s">
        <v>116</v>
      </c>
      <c r="B7" s="18">
        <f>VLOOKUP($A$7,TenexReport,5,FALSE)</f>
        <v>58</v>
      </c>
      <c r="C7" s="18">
        <f>VLOOKUP($A$7,TenexReport,6,FALSE)</f>
        <v>7</v>
      </c>
      <c r="D7" s="18">
        <f>VLOOKUP($A$7,TenexReport,11,FALSE)</f>
        <v>237</v>
      </c>
      <c r="E7" s="18">
        <f>VLOOKUP($A$7,TenexReport,7,FALSE)</f>
        <v>56</v>
      </c>
      <c r="F7" s="18">
        <f>VLOOKUP($A$7,TenexReport,12,FALSE)</f>
        <v>58</v>
      </c>
      <c r="G7" s="18">
        <f>VLOOKUP($A$7,TenexReport,13,FALSE)</f>
        <v>191</v>
      </c>
    </row>
    <row r="8" spans="1:7" s="15" customFormat="1" x14ac:dyDescent="0.2">
      <c r="A8" s="1" t="s">
        <v>117</v>
      </c>
      <c r="B8" s="76">
        <f>VLOOKUP($A$8,TenexReport,5,FALSE)</f>
        <v>68</v>
      </c>
      <c r="C8" s="76">
        <f>VLOOKUP($A$8,TenexReport,6,FALSE)</f>
        <v>5</v>
      </c>
      <c r="D8" s="76">
        <f>VLOOKUP($A$8,TenexReport,11,FALSE)</f>
        <v>294</v>
      </c>
      <c r="E8" s="76">
        <f>VLOOKUP($A$8,TenexReport,7,FALSE)</f>
        <v>65</v>
      </c>
      <c r="F8" s="76">
        <f>VLOOKUP($A$8,TenexReport,12,FALSE)</f>
        <v>73</v>
      </c>
      <c r="G8" s="76">
        <f>VLOOKUP($A$8,TenexReport,13,FALSE)</f>
        <v>239</v>
      </c>
    </row>
    <row r="9" spans="1:7" s="15" customFormat="1" x14ac:dyDescent="0.2">
      <c r="A9" s="1" t="s">
        <v>118</v>
      </c>
      <c r="B9" s="76">
        <f>VLOOKUP($A$9,TenexReport,5,FALSE)</f>
        <v>79</v>
      </c>
      <c r="C9" s="76">
        <f>VLOOKUP($A$9,TenexReport,6,FALSE)</f>
        <v>9</v>
      </c>
      <c r="D9" s="76">
        <f>VLOOKUP($A$9,TenexReport,11,FALSE)</f>
        <v>328</v>
      </c>
      <c r="E9" s="76">
        <f>VLOOKUP($A$9,TenexReport,7,FALSE)</f>
        <v>80</v>
      </c>
      <c r="F9" s="76">
        <f>VLOOKUP($A$9,TenexReport,12,FALSE)</f>
        <v>79</v>
      </c>
      <c r="G9" s="76">
        <f>VLOOKUP($A$9,TenexReport,13,FALSE)</f>
        <v>263</v>
      </c>
    </row>
    <row r="10" spans="1:7" s="15" customFormat="1" x14ac:dyDescent="0.2">
      <c r="A10" s="1" t="s">
        <v>119</v>
      </c>
      <c r="B10" s="76">
        <f>VLOOKUP($A$10,TenexReport,5,FALSE)</f>
        <v>8</v>
      </c>
      <c r="C10" s="76">
        <f>VLOOKUP($A$10,TenexReport,6,FALSE)</f>
        <v>7</v>
      </c>
      <c r="D10" s="76">
        <f>VLOOKUP($A$10,TenexReport,11,FALSE)</f>
        <v>127</v>
      </c>
      <c r="E10" s="76">
        <f>VLOOKUP($A$10,TenexReport,7,FALSE)</f>
        <v>14</v>
      </c>
      <c r="F10" s="76">
        <f>VLOOKUP($A$10,TenexReport,12,FALSE)</f>
        <v>27</v>
      </c>
      <c r="G10" s="76">
        <f>VLOOKUP($A$10,TenexReport,13,FALSE)</f>
        <v>102</v>
      </c>
    </row>
    <row r="11" spans="1:7" s="15" customFormat="1" x14ac:dyDescent="0.2">
      <c r="A11" s="1" t="s">
        <v>156</v>
      </c>
      <c r="B11" s="76">
        <f>VLOOKUP($A$11,TenexReport,5,FALSE)</f>
        <v>4</v>
      </c>
      <c r="C11" s="76">
        <f>VLOOKUP($A$11,TenexReport,6,FALSE)</f>
        <v>0</v>
      </c>
      <c r="D11" s="76">
        <f>VLOOKUP($A$11,TenexReport,11,FALSE)</f>
        <v>49</v>
      </c>
      <c r="E11" s="76">
        <f>VLOOKUP($A$11,TenexReport,7,FALSE)</f>
        <v>4</v>
      </c>
      <c r="F11" s="76">
        <f>VLOOKUP($A$11,TenexReport,12,FALSE)</f>
        <v>13</v>
      </c>
      <c r="G11" s="76">
        <f>VLOOKUP($A$11,TenexReport,13,FALSE)</f>
        <v>39</v>
      </c>
    </row>
    <row r="12" spans="1:7" s="15" customFormat="1" x14ac:dyDescent="0.2">
      <c r="A12" s="1" t="s">
        <v>120</v>
      </c>
      <c r="B12" s="84">
        <f>VLOOKUP($A$12,TenexReport,5,FALSE)</f>
        <v>37</v>
      </c>
      <c r="C12" s="84">
        <f>VLOOKUP($A$12,TenexReport,6,FALSE)</f>
        <v>6</v>
      </c>
      <c r="D12" s="84">
        <f>VLOOKUP($A$12,TenexReport,11,FALSE)</f>
        <v>54</v>
      </c>
      <c r="E12" s="84">
        <f>VLOOKUP($A$12,TenexReport,7,FALSE)</f>
        <v>41</v>
      </c>
      <c r="F12" s="84">
        <f>VLOOKUP($A$12,TenexReport,12,FALSE)</f>
        <v>13</v>
      </c>
      <c r="G12" s="84">
        <f>VLOOKUP($A$12,TenexReport,13,FALSE)</f>
        <v>43</v>
      </c>
    </row>
    <row r="13" spans="1:7" x14ac:dyDescent="0.2">
      <c r="A13" s="8" t="s">
        <v>0</v>
      </c>
      <c r="B13" s="17">
        <f t="shared" ref="B13:G13" si="0">SUM(B7:B12)</f>
        <v>254</v>
      </c>
      <c r="C13" s="17">
        <f t="shared" si="0"/>
        <v>34</v>
      </c>
      <c r="D13" s="17">
        <f t="shared" si="0"/>
        <v>1089</v>
      </c>
      <c r="E13" s="17">
        <f t="shared" si="0"/>
        <v>260</v>
      </c>
      <c r="F13" s="17">
        <f t="shared" si="0"/>
        <v>263</v>
      </c>
      <c r="G13" s="17">
        <f t="shared" si="0"/>
        <v>877</v>
      </c>
    </row>
    <row r="14" spans="1:7" x14ac:dyDescent="0.2">
      <c r="A14" s="30"/>
      <c r="B14" s="40"/>
      <c r="C14" s="40"/>
      <c r="D14" s="40"/>
      <c r="E14" s="40"/>
      <c r="F14" s="40"/>
      <c r="G14" s="40"/>
    </row>
  </sheetData>
  <sheetProtection selectLockedCells="1"/>
  <mergeCells count="6">
    <mergeCell ref="B1:D1"/>
    <mergeCell ref="B2:D2"/>
    <mergeCell ref="B3:D3"/>
    <mergeCell ref="E1:G1"/>
    <mergeCell ref="E2:G2"/>
    <mergeCell ref="E3:G3"/>
  </mergeCells>
  <phoneticPr fontId="2" type="noConversion"/>
  <printOptions horizontalCentered="1"/>
  <pageMargins left="1" right="0.5" top="1" bottom="0.5" header="0.5" footer="0.35"/>
  <pageSetup pageOrder="overThenDown" orientation="portrait" horizontalDpi="4294967295" verticalDpi="4294967295" r:id="rId1"/>
  <headerFooter alignWithMargins="0">
    <oddHeader>&amp;C&amp;"Helv,Bold"POWER COUNTY RESULTS
PRIMARY ELECTION    MAY 19,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view="pageLayout" topLeftCell="A4" zoomScaleNormal="100" zoomScaleSheetLayoutView="100" workbookViewId="0">
      <selection activeCell="A7" sqref="A7:B12"/>
    </sheetView>
  </sheetViews>
  <sheetFormatPr defaultColWidth="9.140625" defaultRowHeight="12.75" x14ac:dyDescent="0.2"/>
  <cols>
    <col min="1" max="1" width="22.28515625" style="16" bestFit="1" customWidth="1"/>
    <col min="2" max="3" width="16.140625" style="10" customWidth="1"/>
    <col min="4" max="4" width="16.5703125" style="10" customWidth="1"/>
    <col min="5" max="9" width="8.7109375" style="10" customWidth="1"/>
    <col min="10" max="16384" width="9.140625" style="10"/>
  </cols>
  <sheetData>
    <row r="1" spans="1:9" x14ac:dyDescent="0.2">
      <c r="A1" s="45"/>
      <c r="B1" s="124" t="s">
        <v>15</v>
      </c>
      <c r="C1" s="125"/>
      <c r="D1" s="63" t="s">
        <v>9</v>
      </c>
      <c r="E1" s="121"/>
      <c r="F1" s="122"/>
      <c r="G1" s="122"/>
      <c r="H1" s="122"/>
      <c r="I1" s="123"/>
    </row>
    <row r="2" spans="1:9" x14ac:dyDescent="0.2">
      <c r="A2" s="41"/>
      <c r="B2" s="112" t="s">
        <v>10</v>
      </c>
      <c r="C2" s="114"/>
      <c r="D2" s="62" t="s">
        <v>17</v>
      </c>
      <c r="E2" s="115" t="s">
        <v>4</v>
      </c>
      <c r="F2" s="116"/>
      <c r="G2" s="116"/>
      <c r="H2" s="116"/>
      <c r="I2" s="117"/>
    </row>
    <row r="3" spans="1:9" s="25" customFormat="1" x14ac:dyDescent="0.2">
      <c r="A3" s="26"/>
      <c r="B3" s="43" t="s">
        <v>16</v>
      </c>
      <c r="C3" s="81" t="s">
        <v>62</v>
      </c>
      <c r="D3" s="9" t="s">
        <v>16</v>
      </c>
      <c r="E3" s="115" t="s">
        <v>5</v>
      </c>
      <c r="F3" s="116"/>
      <c r="G3" s="116"/>
      <c r="H3" s="116"/>
      <c r="I3" s="117"/>
    </row>
    <row r="4" spans="1:9" ht="13.5" customHeight="1" x14ac:dyDescent="0.2">
      <c r="A4" s="27"/>
      <c r="B4" s="44" t="s">
        <v>64</v>
      </c>
      <c r="C4" s="81" t="s">
        <v>63</v>
      </c>
      <c r="D4" s="9" t="s">
        <v>65</v>
      </c>
      <c r="E4" s="118"/>
      <c r="F4" s="119"/>
      <c r="G4" s="119"/>
      <c r="H4" s="119"/>
      <c r="I4" s="120"/>
    </row>
    <row r="5" spans="1:9" s="11" customFormat="1" ht="95.45" customHeight="1" thickBot="1" x14ac:dyDescent="0.25">
      <c r="A5" s="28" t="s">
        <v>6</v>
      </c>
      <c r="B5" s="6" t="s">
        <v>64</v>
      </c>
      <c r="C5" s="6" t="s">
        <v>63</v>
      </c>
      <c r="D5" s="6" t="s">
        <v>65</v>
      </c>
      <c r="E5" s="7" t="s">
        <v>11</v>
      </c>
      <c r="F5" s="7" t="s">
        <v>12</v>
      </c>
      <c r="G5" s="7" t="s">
        <v>18</v>
      </c>
      <c r="H5" s="7" t="s">
        <v>19</v>
      </c>
      <c r="I5" s="4" t="s">
        <v>13</v>
      </c>
    </row>
    <row r="6" spans="1:9" s="15" customFormat="1" ht="13.5" thickBot="1" x14ac:dyDescent="0.25">
      <c r="A6" s="12"/>
      <c r="B6" s="13"/>
      <c r="C6" s="13"/>
      <c r="D6" s="13"/>
      <c r="E6" s="13"/>
      <c r="F6" s="13"/>
      <c r="G6" s="13"/>
      <c r="H6" s="13"/>
      <c r="I6" s="14"/>
    </row>
    <row r="7" spans="1:9" s="15" customFormat="1" x14ac:dyDescent="0.2">
      <c r="A7" s="1" t="s">
        <v>116</v>
      </c>
      <c r="B7" s="18">
        <f>VLOOKUP($A$7,TenexReport,26,FALSE)</f>
        <v>292</v>
      </c>
      <c r="C7" s="18">
        <f>VLOOKUP($A$7,TenexReport,27,FALSE)</f>
        <v>289</v>
      </c>
      <c r="D7" s="18">
        <f>VLOOKUP($A$7,TenexReport,28,FALSE)</f>
        <v>299</v>
      </c>
      <c r="E7" s="18">
        <f>'Hospital Dist.'!D7</f>
        <v>712</v>
      </c>
      <c r="F7" s="18">
        <f>'Hospital Dist.'!E7</f>
        <v>0</v>
      </c>
      <c r="G7" s="18">
        <f>'Hospital Dist.'!F7</f>
        <v>712</v>
      </c>
      <c r="H7" s="18">
        <f>'Hospital Dist.'!G7</f>
        <v>369</v>
      </c>
      <c r="I7" s="20">
        <f t="shared" ref="I7:I12" si="0">IF(H7&lt;&gt;0,H7/G7,"")</f>
        <v>0.5182584269662921</v>
      </c>
    </row>
    <row r="8" spans="1:9" s="15" customFormat="1" x14ac:dyDescent="0.2">
      <c r="A8" s="1" t="s">
        <v>117</v>
      </c>
      <c r="B8" s="76">
        <f>VLOOKUP($A$8,TenexReport,26,FALSE)</f>
        <v>372</v>
      </c>
      <c r="C8" s="76">
        <f>VLOOKUP($A$8,TenexReport,27,FALSE)</f>
        <v>372</v>
      </c>
      <c r="D8" s="76">
        <f>VLOOKUP($A$8,TenexReport,28,FALSE)</f>
        <v>382</v>
      </c>
      <c r="E8" s="76">
        <f>'Hospital Dist.'!D8</f>
        <v>885</v>
      </c>
      <c r="F8" s="76">
        <f>'Hospital Dist.'!E8</f>
        <v>0</v>
      </c>
      <c r="G8" s="76">
        <f>'Hospital Dist.'!F8</f>
        <v>885</v>
      </c>
      <c r="H8" s="76">
        <f>'Hospital Dist.'!G8</f>
        <v>465</v>
      </c>
      <c r="I8" s="20">
        <f t="shared" si="0"/>
        <v>0.52542372881355937</v>
      </c>
    </row>
    <row r="9" spans="1:9" s="15" customFormat="1" x14ac:dyDescent="0.2">
      <c r="A9" s="1" t="s">
        <v>118</v>
      </c>
      <c r="B9" s="76">
        <f>VLOOKUP($A$9,TenexReport,26,FALSE)</f>
        <v>423</v>
      </c>
      <c r="C9" s="76">
        <f>VLOOKUP($A$9,TenexReport,27,FALSE)</f>
        <v>420</v>
      </c>
      <c r="D9" s="76">
        <f>VLOOKUP($A$9,TenexReport,28,FALSE)</f>
        <v>431</v>
      </c>
      <c r="E9" s="76">
        <f>'Hospital Dist.'!D9</f>
        <v>1028</v>
      </c>
      <c r="F9" s="76">
        <f>'Hospital Dist.'!E9</f>
        <v>0</v>
      </c>
      <c r="G9" s="76">
        <f>'Hospital Dist.'!F9</f>
        <v>1028</v>
      </c>
      <c r="H9" s="76">
        <f>'Hospital Dist.'!G9</f>
        <v>507</v>
      </c>
      <c r="I9" s="20">
        <f t="shared" si="0"/>
        <v>0.49319066147859925</v>
      </c>
    </row>
    <row r="10" spans="1:9" s="15" customFormat="1" x14ac:dyDescent="0.2">
      <c r="A10" s="1" t="s">
        <v>119</v>
      </c>
      <c r="B10" s="76">
        <f>VLOOKUP($A$10,TenexReport,26,FALSE)</f>
        <v>137</v>
      </c>
      <c r="C10" s="76">
        <f>VLOOKUP($A$10,TenexReport,27,FALSE)</f>
        <v>135</v>
      </c>
      <c r="D10" s="76">
        <f>VLOOKUP($A$10,TenexReport,28,FALSE)</f>
        <v>138</v>
      </c>
      <c r="E10" s="76">
        <f>'Hospital Dist.'!D10</f>
        <v>340</v>
      </c>
      <c r="F10" s="76">
        <f>'Hospital Dist.'!E10</f>
        <v>0</v>
      </c>
      <c r="G10" s="76">
        <f>'Hospital Dist.'!F10</f>
        <v>340</v>
      </c>
      <c r="H10" s="76">
        <f>'Hospital Dist.'!G10</f>
        <v>161</v>
      </c>
      <c r="I10" s="20">
        <f t="shared" si="0"/>
        <v>0.47352941176470587</v>
      </c>
    </row>
    <row r="11" spans="1:9" s="15" customFormat="1" x14ac:dyDescent="0.2">
      <c r="A11" s="1" t="s">
        <v>156</v>
      </c>
      <c r="B11" s="76">
        <f>VLOOKUP($A$11,TenexReport,26,FALSE)</f>
        <v>52</v>
      </c>
      <c r="C11" s="76">
        <f>VLOOKUP($A$11,TenexReport,27,FALSE)</f>
        <v>48</v>
      </c>
      <c r="D11" s="76">
        <f>VLOOKUP($A$11,TenexReport,28,FALSE)</f>
        <v>51</v>
      </c>
      <c r="E11" s="76">
        <f>'Hospital Dist.'!D11</f>
        <v>122</v>
      </c>
      <c r="F11" s="76">
        <f>'Hospital Dist.'!E11</f>
        <v>0</v>
      </c>
      <c r="G11" s="76">
        <f>'Hospital Dist.'!F11</f>
        <v>122</v>
      </c>
      <c r="H11" s="76">
        <f>'Hospital Dist.'!G11</f>
        <v>59</v>
      </c>
      <c r="I11" s="20">
        <f t="shared" si="0"/>
        <v>0.48360655737704916</v>
      </c>
    </row>
    <row r="12" spans="1:9" s="15" customFormat="1" x14ac:dyDescent="0.2">
      <c r="A12" s="1" t="s">
        <v>120</v>
      </c>
      <c r="B12" s="84">
        <f>VLOOKUP($A$12,TenexReport,26,FALSE)</f>
        <v>103</v>
      </c>
      <c r="C12" s="84">
        <f>VLOOKUP($A$12,TenexReport,27,FALSE)</f>
        <v>101</v>
      </c>
      <c r="D12" s="84">
        <f>VLOOKUP($A$12,TenexReport,28,FALSE)</f>
        <v>102</v>
      </c>
      <c r="E12" s="84">
        <f>'Hospital Dist.'!D12</f>
        <v>361</v>
      </c>
      <c r="F12" s="84">
        <f>'Hospital Dist.'!E12</f>
        <v>0</v>
      </c>
      <c r="G12" s="84">
        <f>'Hospital Dist.'!F12</f>
        <v>361</v>
      </c>
      <c r="H12" s="84">
        <f>'Hospital Dist.'!G12</f>
        <v>115</v>
      </c>
      <c r="I12" s="20">
        <f t="shared" si="0"/>
        <v>0.31855955678670361</v>
      </c>
    </row>
    <row r="13" spans="1:9" x14ac:dyDescent="0.2">
      <c r="A13" s="8" t="s">
        <v>0</v>
      </c>
      <c r="B13" s="17">
        <f t="shared" ref="B13:H13" si="1">SUM(B7:B12)</f>
        <v>1379</v>
      </c>
      <c r="C13" s="17">
        <f t="shared" si="1"/>
        <v>1365</v>
      </c>
      <c r="D13" s="17">
        <f t="shared" si="1"/>
        <v>1403</v>
      </c>
      <c r="E13" s="17">
        <f t="shared" si="1"/>
        <v>3448</v>
      </c>
      <c r="F13" s="17">
        <f t="shared" si="1"/>
        <v>0</v>
      </c>
      <c r="G13" s="17">
        <f t="shared" si="1"/>
        <v>3448</v>
      </c>
      <c r="H13" s="17">
        <f t="shared" si="1"/>
        <v>1676</v>
      </c>
      <c r="I13" s="21">
        <f t="shared" ref="I13" si="2">IF(H13&lt;&gt;0,H13/G13,"")</f>
        <v>0.48607888631090485</v>
      </c>
    </row>
    <row r="14" spans="1:9" x14ac:dyDescent="0.2">
      <c r="A14" s="30"/>
    </row>
    <row r="17" spans="5:8" x14ac:dyDescent="0.2">
      <c r="E17" s="10" t="s">
        <v>42</v>
      </c>
      <c r="H17" s="60"/>
    </row>
  </sheetData>
  <sheetProtection selectLockedCells="1"/>
  <mergeCells count="6">
    <mergeCell ref="E4:I4"/>
    <mergeCell ref="E3:I3"/>
    <mergeCell ref="E1:I1"/>
    <mergeCell ref="E2:I2"/>
    <mergeCell ref="B1:C1"/>
    <mergeCell ref="B2:C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&amp;C&amp;"Helv,Bold"POWER COUNTY RESULTS
PRIMARY ELECTION    MAY 19,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view="pageLayout" topLeftCell="A4" zoomScaleNormal="100" zoomScaleSheetLayoutView="100" workbookViewId="0">
      <selection activeCell="A7" sqref="A7"/>
    </sheetView>
  </sheetViews>
  <sheetFormatPr defaultColWidth="9.140625" defaultRowHeight="12.75" x14ac:dyDescent="0.2"/>
  <cols>
    <col min="1" max="1" width="22.28515625" style="16" bestFit="1" customWidth="1"/>
    <col min="2" max="9" width="8.5703125" style="10" customWidth="1"/>
    <col min="10" max="10" width="10.42578125" style="10" customWidth="1"/>
    <col min="11" max="11" width="9.28515625" style="10" bestFit="1" customWidth="1"/>
    <col min="12" max="12" width="8.42578125" style="10" customWidth="1"/>
    <col min="13" max="13" width="9.7109375" style="10" bestFit="1" customWidth="1"/>
    <col min="14" max="14" width="10.7109375" style="10" bestFit="1" customWidth="1"/>
    <col min="15" max="15" width="10.42578125" style="10" bestFit="1" customWidth="1"/>
    <col min="16" max="16" width="9.7109375" style="10" bestFit="1" customWidth="1"/>
    <col min="17" max="17" width="13.28515625" style="10" bestFit="1" customWidth="1"/>
    <col min="18" max="18" width="10" style="10" bestFit="1" customWidth="1"/>
    <col min="19" max="16384" width="9.140625" style="10"/>
  </cols>
  <sheetData>
    <row r="1" spans="1:7" x14ac:dyDescent="0.2">
      <c r="A1" s="23"/>
      <c r="B1" s="121"/>
      <c r="C1" s="122"/>
      <c r="D1" s="122"/>
      <c r="E1" s="122"/>
      <c r="F1" s="110" t="s">
        <v>20</v>
      </c>
      <c r="G1" s="110"/>
    </row>
    <row r="2" spans="1:7" s="25" customFormat="1" x14ac:dyDescent="0.2">
      <c r="A2" s="24"/>
      <c r="B2" s="112" t="s">
        <v>32</v>
      </c>
      <c r="C2" s="113"/>
      <c r="D2" s="113"/>
      <c r="E2" s="113"/>
      <c r="F2" s="115" t="s">
        <v>21</v>
      </c>
      <c r="G2" s="117"/>
    </row>
    <row r="3" spans="1:7" s="25" customFormat="1" x14ac:dyDescent="0.2">
      <c r="A3" s="24"/>
      <c r="B3" s="64" t="s">
        <v>14</v>
      </c>
      <c r="C3" s="126" t="s">
        <v>7</v>
      </c>
      <c r="D3" s="127"/>
      <c r="E3" s="64" t="s">
        <v>8</v>
      </c>
      <c r="F3" s="51" t="s">
        <v>29</v>
      </c>
      <c r="G3" s="51" t="s">
        <v>67</v>
      </c>
    </row>
    <row r="4" spans="1:7" x14ac:dyDescent="0.2">
      <c r="A4" s="32"/>
      <c r="B4" s="2" t="s">
        <v>2</v>
      </c>
      <c r="C4" s="2" t="s">
        <v>1</v>
      </c>
      <c r="D4" s="2" t="s">
        <v>2</v>
      </c>
      <c r="E4" s="2" t="s">
        <v>2</v>
      </c>
      <c r="F4" s="2" t="s">
        <v>1</v>
      </c>
      <c r="G4" s="2" t="s">
        <v>2</v>
      </c>
    </row>
    <row r="5" spans="1:7" s="11" customFormat="1" ht="88.15" customHeight="1" thickBot="1" x14ac:dyDescent="0.25">
      <c r="A5" s="33" t="s">
        <v>6</v>
      </c>
      <c r="B5" s="4" t="s">
        <v>33</v>
      </c>
      <c r="C5" s="5" t="s">
        <v>39</v>
      </c>
      <c r="D5" s="5" t="s">
        <v>40</v>
      </c>
      <c r="E5" s="5" t="s">
        <v>41</v>
      </c>
      <c r="F5" s="4" t="s">
        <v>66</v>
      </c>
      <c r="G5" s="4" t="s">
        <v>68</v>
      </c>
    </row>
    <row r="6" spans="1:7" s="15" customFormat="1" ht="13.9" customHeight="1" thickBot="1" x14ac:dyDescent="0.25">
      <c r="A6" s="12"/>
      <c r="B6" s="13"/>
      <c r="C6" s="13"/>
      <c r="D6" s="13"/>
      <c r="E6" s="13"/>
      <c r="F6" s="13"/>
      <c r="G6" s="14"/>
    </row>
    <row r="7" spans="1:7" s="15" customFormat="1" x14ac:dyDescent="0.2">
      <c r="A7" s="1" t="s">
        <v>116</v>
      </c>
      <c r="B7" s="18">
        <f>VLOOKUP($A$7,TenexReport,14,FALSE)</f>
        <v>236</v>
      </c>
      <c r="C7" s="18">
        <f>VLOOKUP($A$7,TenexReport,8,FALSE)</f>
        <v>57</v>
      </c>
      <c r="D7" s="18">
        <f>VLOOKUP($A$7,TenexReport,15,FALSE)</f>
        <v>229</v>
      </c>
      <c r="E7" s="18">
        <f>VLOOKUP($A$7,TenexReport,16,FALSE)</f>
        <v>228</v>
      </c>
      <c r="F7" s="18">
        <f>VLOOKUP($A$7,TenexReport,9,FALSE)</f>
        <v>61</v>
      </c>
      <c r="G7" s="18">
        <f>VLOOKUP($A$7,TenexReport,17,FALSE)</f>
        <v>231</v>
      </c>
    </row>
    <row r="8" spans="1:7" s="15" customFormat="1" x14ac:dyDescent="0.2">
      <c r="A8" s="1" t="s">
        <v>117</v>
      </c>
      <c r="B8" s="76">
        <f>VLOOKUP($A$8,TenexReport,14,FALSE)</f>
        <v>295</v>
      </c>
      <c r="C8" s="76">
        <f>VLOOKUP($A$8,TenexReport,8,FALSE)</f>
        <v>65</v>
      </c>
      <c r="D8" s="76">
        <f>VLOOKUP($A$8,TenexReport,15,FALSE)</f>
        <v>265</v>
      </c>
      <c r="E8" s="76">
        <f>VLOOKUP($A$8,TenexReport,16,FALSE)</f>
        <v>278</v>
      </c>
      <c r="F8" s="76">
        <f>VLOOKUP($A$8,TenexReport,9,FALSE)</f>
        <v>70</v>
      </c>
      <c r="G8" s="76">
        <f>VLOOKUP($A$8,TenexReport,17,FALSE)</f>
        <v>282</v>
      </c>
    </row>
    <row r="9" spans="1:7" s="15" customFormat="1" x14ac:dyDescent="0.2">
      <c r="A9" s="1" t="s">
        <v>118</v>
      </c>
      <c r="B9" s="76">
        <f>VLOOKUP($A$9,TenexReport,14,FALSE)</f>
        <v>326</v>
      </c>
      <c r="C9" s="76">
        <f>VLOOKUP($A$9,TenexReport,8,FALSE)</f>
        <v>80</v>
      </c>
      <c r="D9" s="76">
        <f>VLOOKUP($A$9,TenexReport,15,FALSE)</f>
        <v>308</v>
      </c>
      <c r="E9" s="76">
        <f>VLOOKUP($A$9,TenexReport,16,FALSE)</f>
        <v>317</v>
      </c>
      <c r="F9" s="76">
        <f>VLOOKUP($A$9,TenexReport,9,FALSE)</f>
        <v>83</v>
      </c>
      <c r="G9" s="76">
        <f>VLOOKUP($A$9,TenexReport,17,FALSE)</f>
        <v>306</v>
      </c>
    </row>
    <row r="10" spans="1:7" s="15" customFormat="1" x14ac:dyDescent="0.2">
      <c r="A10" s="1" t="s">
        <v>119</v>
      </c>
      <c r="B10" s="76">
        <f>VLOOKUP($A$10,TenexReport,14,FALSE)</f>
        <v>115</v>
      </c>
      <c r="C10" s="76">
        <f>VLOOKUP($A$10,TenexReport,8,FALSE)</f>
        <v>12</v>
      </c>
      <c r="D10" s="76">
        <f>VLOOKUP($A$10,TenexReport,15,FALSE)</f>
        <v>122</v>
      </c>
      <c r="E10" s="76">
        <f>VLOOKUP($A$10,TenexReport,16,FALSE)</f>
        <v>125</v>
      </c>
      <c r="F10" s="76">
        <f>VLOOKUP($A$10,TenexReport,9,FALSE)</f>
        <v>15</v>
      </c>
      <c r="G10" s="76">
        <f>VLOOKUP($A$10,TenexReport,17,FALSE)</f>
        <v>125</v>
      </c>
    </row>
    <row r="11" spans="1:7" s="15" customFormat="1" x14ac:dyDescent="0.2">
      <c r="A11" s="1" t="s">
        <v>156</v>
      </c>
      <c r="B11" s="76">
        <f>VLOOKUP($A$11,TenexReport,14,FALSE)</f>
        <v>50</v>
      </c>
      <c r="C11" s="76">
        <f>VLOOKUP($A$11,TenexReport,8,FALSE)</f>
        <v>4</v>
      </c>
      <c r="D11" s="76">
        <f>VLOOKUP($A$11,TenexReport,15,FALSE)</f>
        <v>49</v>
      </c>
      <c r="E11" s="76">
        <f>VLOOKUP($A$11,TenexReport,16,FALSE)</f>
        <v>49</v>
      </c>
      <c r="F11" s="76">
        <f>VLOOKUP($A$11,TenexReport,9,FALSE)</f>
        <v>4</v>
      </c>
      <c r="G11" s="76">
        <f>VLOOKUP($A$11,TenexReport,17,FALSE)</f>
        <v>49</v>
      </c>
    </row>
    <row r="12" spans="1:7" s="15" customFormat="1" x14ac:dyDescent="0.2">
      <c r="A12" s="1" t="s">
        <v>120</v>
      </c>
      <c r="B12" s="84">
        <f>VLOOKUP($A$12,TenexReport,14,FALSE)</f>
        <v>54</v>
      </c>
      <c r="C12" s="84">
        <f>VLOOKUP($A$12,TenexReport,8,FALSE)</f>
        <v>40</v>
      </c>
      <c r="D12" s="84">
        <f>VLOOKUP($A$12,TenexReport,15,FALSE)</f>
        <v>51</v>
      </c>
      <c r="E12" s="84">
        <f>VLOOKUP($A$12,TenexReport,16,FALSE)</f>
        <v>52</v>
      </c>
      <c r="F12" s="84">
        <f>VLOOKUP($A$12,TenexReport,9,FALSE)</f>
        <v>40</v>
      </c>
      <c r="G12" s="84">
        <f>VLOOKUP($A$12,TenexReport,17,FALSE)</f>
        <v>50</v>
      </c>
    </row>
    <row r="13" spans="1:7" x14ac:dyDescent="0.2">
      <c r="A13" s="8" t="s">
        <v>0</v>
      </c>
      <c r="B13" s="42">
        <f t="shared" ref="B13:G13" si="0">SUM(B7:B12)</f>
        <v>1076</v>
      </c>
      <c r="C13" s="17">
        <f t="shared" si="0"/>
        <v>258</v>
      </c>
      <c r="D13" s="17">
        <f t="shared" si="0"/>
        <v>1024</v>
      </c>
      <c r="E13" s="17">
        <f t="shared" si="0"/>
        <v>1049</v>
      </c>
      <c r="F13" s="17">
        <f t="shared" si="0"/>
        <v>273</v>
      </c>
      <c r="G13" s="17">
        <f t="shared" si="0"/>
        <v>1043</v>
      </c>
    </row>
  </sheetData>
  <sheetProtection selectLockedCells="1"/>
  <mergeCells count="5">
    <mergeCell ref="B2:E2"/>
    <mergeCell ref="C3:D3"/>
    <mergeCell ref="F2:G2"/>
    <mergeCell ref="F1:G1"/>
    <mergeCell ref="B1:E1"/>
  </mergeCells>
  <phoneticPr fontId="2" type="noConversion"/>
  <printOptions horizontalCentered="1"/>
  <pageMargins left="1" right="0.5" top="1" bottom="0.5" header="0.5" footer="0.35"/>
  <pageSetup pageOrder="overThenDown" orientation="landscape" horizontalDpi="4294967295" verticalDpi="4294967295" r:id="rId1"/>
  <headerFooter alignWithMargins="0">
    <oddHeader>&amp;C&amp;"Helv,Bold"POWER COUNTY RESULTS
PRIMARY ELECTION    MAY 19,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5"/>
  <sheetViews>
    <sheetView view="pageLayout" topLeftCell="A4" zoomScaleNormal="100" zoomScaleSheetLayoutView="100" workbookViewId="0">
      <selection activeCell="B7" sqref="B7:B12"/>
    </sheetView>
  </sheetViews>
  <sheetFormatPr defaultColWidth="9.140625" defaultRowHeight="12.75" x14ac:dyDescent="0.2"/>
  <cols>
    <col min="1" max="1" width="22.28515625" style="16" bestFit="1" customWidth="1"/>
    <col min="2" max="6" width="12.42578125" style="16" customWidth="1"/>
    <col min="7" max="8" width="10.7109375" style="16" customWidth="1"/>
    <col min="9" max="9" width="11.5703125" style="10" bestFit="1" customWidth="1"/>
    <col min="10" max="10" width="10.42578125" style="10" customWidth="1"/>
    <col min="11" max="11" width="9.28515625" style="10" bestFit="1" customWidth="1"/>
    <col min="12" max="12" width="8.42578125" style="10" customWidth="1"/>
    <col min="13" max="13" width="9.7109375" style="10" bestFit="1" customWidth="1"/>
    <col min="14" max="14" width="10.7109375" style="10" bestFit="1" customWidth="1"/>
    <col min="15" max="15" width="10.42578125" style="10" bestFit="1" customWidth="1"/>
    <col min="16" max="16" width="9.7109375" style="10" bestFit="1" customWidth="1"/>
    <col min="17" max="17" width="13.28515625" style="10" bestFit="1" customWidth="1"/>
    <col min="18" max="18" width="10" style="10" bestFit="1" customWidth="1"/>
    <col min="19" max="16384" width="9.140625" style="10"/>
  </cols>
  <sheetData>
    <row r="1" spans="1:8" x14ac:dyDescent="0.2">
      <c r="A1" s="23"/>
      <c r="B1" s="128"/>
      <c r="C1" s="129"/>
      <c r="D1" s="129"/>
      <c r="E1" s="129"/>
      <c r="F1" s="130"/>
      <c r="G1" s="128" t="s">
        <v>20</v>
      </c>
      <c r="H1" s="130"/>
    </row>
    <row r="2" spans="1:8" x14ac:dyDescent="0.2">
      <c r="A2" s="24"/>
      <c r="B2" s="115" t="s">
        <v>20</v>
      </c>
      <c r="C2" s="116"/>
      <c r="D2" s="116"/>
      <c r="E2" s="116"/>
      <c r="F2" s="117"/>
      <c r="G2" s="115" t="s">
        <v>75</v>
      </c>
      <c r="H2" s="117"/>
    </row>
    <row r="3" spans="1:8" x14ac:dyDescent="0.2">
      <c r="A3" s="24"/>
      <c r="B3" s="112" t="s">
        <v>69</v>
      </c>
      <c r="C3" s="113"/>
      <c r="D3" s="113"/>
      <c r="E3" s="113"/>
      <c r="F3" s="114"/>
      <c r="G3" s="112" t="s">
        <v>3</v>
      </c>
      <c r="H3" s="114"/>
    </row>
    <row r="4" spans="1:8" x14ac:dyDescent="0.2">
      <c r="A4" s="32"/>
      <c r="B4" s="2" t="s">
        <v>1</v>
      </c>
      <c r="C4" s="3" t="s">
        <v>2</v>
      </c>
      <c r="D4" s="3" t="s">
        <v>2</v>
      </c>
      <c r="E4" s="3" t="s">
        <v>2</v>
      </c>
      <c r="F4" s="3" t="s">
        <v>2</v>
      </c>
      <c r="G4" s="3" t="s">
        <v>2</v>
      </c>
      <c r="H4" s="3" t="s">
        <v>2</v>
      </c>
    </row>
    <row r="5" spans="1:8" ht="84.6" customHeight="1" thickBot="1" x14ac:dyDescent="0.25">
      <c r="A5" s="28" t="s">
        <v>6</v>
      </c>
      <c r="B5" s="4" t="s">
        <v>70</v>
      </c>
      <c r="C5" s="5" t="s">
        <v>71</v>
      </c>
      <c r="D5" s="5" t="s">
        <v>72</v>
      </c>
      <c r="E5" s="5" t="s">
        <v>73</v>
      </c>
      <c r="F5" s="5" t="s">
        <v>74</v>
      </c>
      <c r="G5" s="5" t="s">
        <v>76</v>
      </c>
      <c r="H5" s="82" t="s">
        <v>77</v>
      </c>
    </row>
    <row r="6" spans="1:8" ht="13.5" thickBot="1" x14ac:dyDescent="0.25">
      <c r="A6" s="12"/>
      <c r="B6" s="37"/>
      <c r="C6" s="37"/>
      <c r="D6" s="37"/>
      <c r="E6" s="37"/>
      <c r="F6" s="37"/>
      <c r="G6" s="13"/>
      <c r="H6" s="14"/>
    </row>
    <row r="7" spans="1:8" x14ac:dyDescent="0.2">
      <c r="A7" s="1" t="s">
        <v>116</v>
      </c>
      <c r="B7" s="18">
        <f>VLOOKUP($A$7,TenexReport,10,FALSE)</f>
        <v>50</v>
      </c>
      <c r="C7" s="18">
        <f>VLOOKUP($A$7,TenexReport,18,FALSE)</f>
        <v>150</v>
      </c>
      <c r="D7" s="18">
        <f>VLOOKUP($A$7,TenexReport,19,FALSE)</f>
        <v>18</v>
      </c>
      <c r="E7" s="18">
        <f>VLOOKUP($A$7,TenexReport,20,FALSE)</f>
        <v>41</v>
      </c>
      <c r="F7" s="18">
        <f>VLOOKUP($A$7,TenexReport,21,FALSE)</f>
        <v>42</v>
      </c>
      <c r="G7" s="18">
        <f>VLOOKUP($A$7,TenexReport,22,FALSE)</f>
        <v>180</v>
      </c>
      <c r="H7" s="18">
        <f>VLOOKUP($A$7,TenexReport,23,FALSE)</f>
        <v>69</v>
      </c>
    </row>
    <row r="8" spans="1:8" x14ac:dyDescent="0.2">
      <c r="A8" s="1" t="s">
        <v>117</v>
      </c>
      <c r="B8" s="76">
        <f>VLOOKUP($A$8,TenexReport,10,FALSE)</f>
        <v>53</v>
      </c>
      <c r="C8" s="76">
        <f>VLOOKUP($A$8,TenexReport,18,FALSE)</f>
        <v>154</v>
      </c>
      <c r="D8" s="76">
        <f>VLOOKUP($A$8,TenexReport,19,FALSE)</f>
        <v>26</v>
      </c>
      <c r="E8" s="76">
        <f>VLOOKUP($A$8,TenexReport,20,FALSE)</f>
        <v>48</v>
      </c>
      <c r="F8" s="76">
        <f>VLOOKUP($A$8,TenexReport,21,FALSE)</f>
        <v>89</v>
      </c>
      <c r="G8" s="76">
        <f>VLOOKUP($A$8,TenexReport,22,FALSE)</f>
        <v>238</v>
      </c>
      <c r="H8" s="76">
        <f>VLOOKUP($A$8,TenexReport,23,FALSE)</f>
        <v>78</v>
      </c>
    </row>
    <row r="9" spans="1:8" x14ac:dyDescent="0.2">
      <c r="A9" s="1" t="s">
        <v>118</v>
      </c>
      <c r="B9" s="76">
        <f>VLOOKUP($A$9,TenexReport,10,FALSE)</f>
        <v>62</v>
      </c>
      <c r="C9" s="76">
        <f>VLOOKUP($A$9,TenexReport,18,FALSE)</f>
        <v>181</v>
      </c>
      <c r="D9" s="76">
        <f>VLOOKUP($A$9,TenexReport,19,FALSE)</f>
        <v>25</v>
      </c>
      <c r="E9" s="76">
        <f>VLOOKUP($A$9,TenexReport,20,FALSE)</f>
        <v>78</v>
      </c>
      <c r="F9" s="76">
        <f>VLOOKUP($A$9,TenexReport,21,FALSE)</f>
        <v>67</v>
      </c>
      <c r="G9" s="76">
        <f>VLOOKUP($A$9,TenexReport,22,FALSE)</f>
        <v>259</v>
      </c>
      <c r="H9" s="76">
        <f>VLOOKUP($A$9,TenexReport,23,FALSE)</f>
        <v>84</v>
      </c>
    </row>
    <row r="10" spans="1:8" x14ac:dyDescent="0.2">
      <c r="A10" s="1" t="s">
        <v>119</v>
      </c>
      <c r="B10" s="76">
        <f>VLOOKUP($A$10,TenexReport,10,FALSE)</f>
        <v>13</v>
      </c>
      <c r="C10" s="76">
        <f>VLOOKUP($A$10,TenexReport,18,FALSE)</f>
        <v>57</v>
      </c>
      <c r="D10" s="76">
        <f>VLOOKUP($A$10,TenexReport,19,FALSE)</f>
        <v>8</v>
      </c>
      <c r="E10" s="76">
        <f>VLOOKUP($A$10,TenexReport,20,FALSE)</f>
        <v>33</v>
      </c>
      <c r="F10" s="76">
        <f>VLOOKUP($A$10,TenexReport,21,FALSE)</f>
        <v>25</v>
      </c>
      <c r="G10" s="76">
        <f>VLOOKUP($A$10,TenexReport,22,FALSE)</f>
        <v>107</v>
      </c>
      <c r="H10" s="76">
        <f>VLOOKUP($A$10,TenexReport,23,FALSE)</f>
        <v>20</v>
      </c>
    </row>
    <row r="11" spans="1:8" x14ac:dyDescent="0.2">
      <c r="A11" s="1" t="s">
        <v>156</v>
      </c>
      <c r="B11" s="76">
        <f>VLOOKUP($A$11,TenexReport,10,FALSE)</f>
        <v>4</v>
      </c>
      <c r="C11" s="76">
        <f>VLOOKUP($A$11,TenexReport,18,FALSE)</f>
        <v>28</v>
      </c>
      <c r="D11" s="76">
        <f>VLOOKUP($A$11,TenexReport,19,FALSE)</f>
        <v>8</v>
      </c>
      <c r="E11" s="76">
        <f>VLOOKUP($A$11,TenexReport,20,FALSE)</f>
        <v>6</v>
      </c>
      <c r="F11" s="76">
        <f>VLOOKUP($A$11,TenexReport,21,FALSE)</f>
        <v>8</v>
      </c>
      <c r="G11" s="76">
        <f>VLOOKUP($A$11,TenexReport,22,FALSE)</f>
        <v>39</v>
      </c>
      <c r="H11" s="76">
        <f>VLOOKUP($A$11,TenexReport,23,FALSE)</f>
        <v>13</v>
      </c>
    </row>
    <row r="12" spans="1:8" x14ac:dyDescent="0.2">
      <c r="A12" s="1" t="s">
        <v>120</v>
      </c>
      <c r="B12" s="84">
        <f>VLOOKUP($A$12,TenexReport,10,FALSE)</f>
        <v>37</v>
      </c>
      <c r="C12" s="84">
        <f>VLOOKUP($A$12,TenexReport,18,FALSE)</f>
        <v>13</v>
      </c>
      <c r="D12" s="84">
        <f>VLOOKUP($A$12,TenexReport,19,FALSE)</f>
        <v>8</v>
      </c>
      <c r="E12" s="84">
        <f>VLOOKUP($A$12,TenexReport,20,FALSE)</f>
        <v>15</v>
      </c>
      <c r="F12" s="84">
        <f>VLOOKUP($A$12,TenexReport,21,FALSE)</f>
        <v>18</v>
      </c>
      <c r="G12" s="84">
        <f>VLOOKUP($A$12,TenexReport,22,FALSE)</f>
        <v>38</v>
      </c>
      <c r="H12" s="84">
        <f>VLOOKUP($A$12,TenexReport,23,FALSE)</f>
        <v>16</v>
      </c>
    </row>
    <row r="13" spans="1:8" x14ac:dyDescent="0.2">
      <c r="A13" s="8" t="s">
        <v>0</v>
      </c>
      <c r="B13" s="17">
        <f t="shared" ref="B13:H13" si="0">SUM(B7:B12)</f>
        <v>219</v>
      </c>
      <c r="C13" s="17">
        <f t="shared" si="0"/>
        <v>583</v>
      </c>
      <c r="D13" s="17">
        <f t="shared" si="0"/>
        <v>93</v>
      </c>
      <c r="E13" s="17">
        <f t="shared" si="0"/>
        <v>221</v>
      </c>
      <c r="F13" s="17">
        <f t="shared" si="0"/>
        <v>249</v>
      </c>
      <c r="G13" s="17">
        <f t="shared" si="0"/>
        <v>861</v>
      </c>
      <c r="H13" s="17">
        <f t="shared" si="0"/>
        <v>280</v>
      </c>
    </row>
    <row r="14" spans="1:8" x14ac:dyDescent="0.2">
      <c r="A14" s="30"/>
      <c r="B14" s="30"/>
      <c r="C14" s="30"/>
      <c r="D14" s="30"/>
      <c r="E14" s="30"/>
      <c r="F14" s="30"/>
      <c r="G14" s="30"/>
      <c r="H14" s="30"/>
    </row>
    <row r="15" spans="1:8" x14ac:dyDescent="0.2">
      <c r="A15" s="30"/>
      <c r="B15" s="30"/>
      <c r="C15" s="30"/>
      <c r="D15" s="30"/>
      <c r="E15" s="30"/>
      <c r="F15" s="30"/>
      <c r="G15" s="30"/>
      <c r="H15" s="30"/>
    </row>
  </sheetData>
  <sheetProtection selectLockedCells="1"/>
  <mergeCells count="6">
    <mergeCell ref="B2:F2"/>
    <mergeCell ref="B3:F3"/>
    <mergeCell ref="B1:F1"/>
    <mergeCell ref="G2:H2"/>
    <mergeCell ref="G3:H3"/>
    <mergeCell ref="G1:H1"/>
  </mergeCells>
  <printOptions horizontalCentered="1"/>
  <pageMargins left="1" right="0.5" top="1" bottom="0.5" header="0.5" footer="0.35"/>
  <pageSetup pageOrder="overThenDown" orientation="landscape" horizontalDpi="4294967295" verticalDpi="4294967295" r:id="rId1"/>
  <headerFooter alignWithMargins="0">
    <oddHeader>&amp;C&amp;"Helv,Bold"POWER COUNTY RESULTS
PRIMARY ELECTION    MAY 19,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"/>
  <sheetViews>
    <sheetView view="pageLayout" zoomScaleNormal="100" zoomScaleSheetLayoutView="100" workbookViewId="0">
      <selection activeCell="D7" sqref="D7"/>
    </sheetView>
  </sheetViews>
  <sheetFormatPr defaultColWidth="9.140625" defaultRowHeight="12.75" x14ac:dyDescent="0.2"/>
  <cols>
    <col min="1" max="1" width="14.85546875" style="16" bestFit="1" customWidth="1"/>
    <col min="2" max="2" width="12.7109375" style="10" customWidth="1"/>
    <col min="3" max="3" width="16.42578125" style="10" customWidth="1"/>
    <col min="4" max="4" width="14" style="10" customWidth="1"/>
    <col min="5" max="5" width="11.7109375" style="10" customWidth="1"/>
    <col min="6" max="6" width="10.42578125" style="10" customWidth="1"/>
    <col min="7" max="7" width="10.7109375" style="10" customWidth="1"/>
    <col min="8" max="8" width="11.42578125" style="10" customWidth="1"/>
    <col min="9" max="9" width="11.5703125" style="10" bestFit="1" customWidth="1"/>
    <col min="10" max="10" width="10.42578125" style="10" customWidth="1"/>
    <col min="11" max="11" width="9.28515625" style="10" bestFit="1" customWidth="1"/>
    <col min="12" max="12" width="8.42578125" style="10" customWidth="1"/>
    <col min="13" max="13" width="9.7109375" style="10" bestFit="1" customWidth="1"/>
    <col min="14" max="14" width="10.7109375" style="10" bestFit="1" customWidth="1"/>
    <col min="15" max="15" width="10.42578125" style="10" bestFit="1" customWidth="1"/>
    <col min="16" max="16" width="9.7109375" style="10" bestFit="1" customWidth="1"/>
    <col min="17" max="17" width="13.28515625" style="10" bestFit="1" customWidth="1"/>
    <col min="18" max="18" width="10" style="10" bestFit="1" customWidth="1"/>
    <col min="19" max="16384" width="9.140625" style="10"/>
  </cols>
  <sheetData>
    <row r="1" spans="1:4" x14ac:dyDescent="0.2">
      <c r="A1" s="131" t="s">
        <v>22</v>
      </c>
      <c r="B1" s="131"/>
      <c r="C1" s="131"/>
      <c r="D1" s="131"/>
    </row>
    <row r="2" spans="1:4" ht="13.5" thickBot="1" x14ac:dyDescent="0.25">
      <c r="A2" s="46" t="s">
        <v>23</v>
      </c>
      <c r="B2" s="46" t="s">
        <v>24</v>
      </c>
      <c r="C2" s="47" t="s">
        <v>25</v>
      </c>
      <c r="D2" s="38" t="s">
        <v>26</v>
      </c>
    </row>
    <row r="3" spans="1:4" ht="13.5" thickBot="1" x14ac:dyDescent="0.25">
      <c r="A3" s="12"/>
      <c r="B3" s="13"/>
      <c r="C3" s="13"/>
      <c r="D3" s="14"/>
    </row>
    <row r="4" spans="1:4" x14ac:dyDescent="0.2">
      <c r="A4" s="1" t="s">
        <v>116</v>
      </c>
      <c r="B4" s="34" t="s">
        <v>34</v>
      </c>
      <c r="C4" s="48" t="s">
        <v>79</v>
      </c>
      <c r="D4" s="49">
        <f>'TENEX REPORT'!X6</f>
        <v>237</v>
      </c>
    </row>
    <row r="5" spans="1:4" x14ac:dyDescent="0.2">
      <c r="A5" s="61"/>
      <c r="B5" s="34"/>
      <c r="C5" s="52"/>
      <c r="D5" s="53"/>
    </row>
    <row r="6" spans="1:4" x14ac:dyDescent="0.2">
      <c r="A6" s="1" t="s">
        <v>118</v>
      </c>
      <c r="B6" s="39" t="s">
        <v>34</v>
      </c>
      <c r="C6" s="83" t="s">
        <v>78</v>
      </c>
      <c r="D6" s="50">
        <f>'TENEX REPORT'!Y8</f>
        <v>310</v>
      </c>
    </row>
  </sheetData>
  <sheetProtection selectLockedCells="1"/>
  <mergeCells count="1">
    <mergeCell ref="A1:D1"/>
  </mergeCells>
  <printOptions horizontalCentered="1"/>
  <pageMargins left="1" right="0.5" top="1" bottom="0.5" header="0.5" footer="0.35"/>
  <pageSetup pageOrder="overThenDown" orientation="landscape" horizontalDpi="4294967295" verticalDpi="4294967295" r:id="rId1"/>
  <headerFooter alignWithMargins="0">
    <oddHeader>&amp;C&amp;"Helv,Bold"POWER COUNTY RESULTS
PRIMARY ELECTION    MAY 19, 2020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0"/>
  <sheetViews>
    <sheetView view="pageLayout" zoomScaleNormal="100" zoomScaleSheetLayoutView="100" workbookViewId="0">
      <selection activeCell="L11" sqref="L11"/>
    </sheetView>
  </sheetViews>
  <sheetFormatPr defaultColWidth="9.140625" defaultRowHeight="12.75" x14ac:dyDescent="0.2"/>
  <cols>
    <col min="1" max="1" width="22.28515625" style="16" bestFit="1" customWidth="1"/>
    <col min="2" max="3" width="8.7109375" style="16" customWidth="1"/>
    <col min="4" max="8" width="8.7109375" style="10" customWidth="1"/>
    <col min="9" max="9" width="9.28515625" style="10" bestFit="1" customWidth="1"/>
    <col min="10" max="10" width="8.42578125" style="10" customWidth="1"/>
    <col min="11" max="11" width="9.7109375" style="10" bestFit="1" customWidth="1"/>
    <col min="12" max="12" width="10.7109375" style="10" bestFit="1" customWidth="1"/>
    <col min="13" max="13" width="10.42578125" style="10" bestFit="1" customWidth="1"/>
    <col min="14" max="14" width="9.7109375" style="10" bestFit="1" customWidth="1"/>
    <col min="15" max="15" width="13.28515625" style="10" bestFit="1" customWidth="1"/>
    <col min="16" max="16" width="10" style="10" bestFit="1" customWidth="1"/>
    <col min="17" max="16384" width="9.140625" style="10"/>
  </cols>
  <sheetData>
    <row r="1" spans="1:8" x14ac:dyDescent="0.2">
      <c r="A1" s="134"/>
      <c r="B1" s="133" t="s">
        <v>35</v>
      </c>
      <c r="C1" s="133"/>
      <c r="D1" s="137"/>
      <c r="E1" s="138"/>
      <c r="F1" s="138"/>
      <c r="G1" s="138"/>
      <c r="H1" s="139"/>
    </row>
    <row r="2" spans="1:8" x14ac:dyDescent="0.2">
      <c r="A2" s="135"/>
      <c r="B2" s="132" t="s">
        <v>36</v>
      </c>
      <c r="C2" s="132"/>
      <c r="D2" s="132" t="s">
        <v>4</v>
      </c>
      <c r="E2" s="132"/>
      <c r="F2" s="132"/>
      <c r="G2" s="132"/>
      <c r="H2" s="132"/>
    </row>
    <row r="3" spans="1:8" x14ac:dyDescent="0.2">
      <c r="A3" s="136"/>
      <c r="B3" s="140" t="s">
        <v>37</v>
      </c>
      <c r="C3" s="140"/>
      <c r="D3" s="132" t="s">
        <v>5</v>
      </c>
      <c r="E3" s="132"/>
      <c r="F3" s="132"/>
      <c r="G3" s="132"/>
      <c r="H3" s="132"/>
    </row>
    <row r="4" spans="1:8" ht="88.15" customHeight="1" thickBot="1" x14ac:dyDescent="0.25">
      <c r="A4" s="54" t="s">
        <v>6</v>
      </c>
      <c r="B4" s="55" t="s">
        <v>44</v>
      </c>
      <c r="C4" s="55" t="s">
        <v>45</v>
      </c>
      <c r="D4" s="56" t="s">
        <v>11</v>
      </c>
      <c r="E4" s="56" t="s">
        <v>12</v>
      </c>
      <c r="F4" s="57" t="s">
        <v>18</v>
      </c>
      <c r="G4" s="57" t="s">
        <v>19</v>
      </c>
      <c r="H4" s="56" t="s">
        <v>13</v>
      </c>
    </row>
    <row r="5" spans="1:8" ht="13.5" thickBot="1" x14ac:dyDescent="0.25">
      <c r="A5" s="12"/>
      <c r="B5" s="13"/>
      <c r="C5" s="13"/>
      <c r="D5" s="13"/>
      <c r="E5" s="13"/>
      <c r="F5" s="35"/>
      <c r="G5" s="35"/>
      <c r="H5" s="36"/>
    </row>
    <row r="6" spans="1:8" x14ac:dyDescent="0.2">
      <c r="A6" s="1" t="s">
        <v>116</v>
      </c>
      <c r="B6" s="85"/>
      <c r="C6" s="85"/>
      <c r="D6" s="85"/>
      <c r="E6" s="85"/>
      <c r="F6" s="92"/>
      <c r="G6" s="92"/>
      <c r="H6" s="93" t="str">
        <f t="shared" ref="H6:H12" si="0">IF(G6&lt;&gt;0,G6/F6,"")</f>
        <v/>
      </c>
    </row>
    <row r="7" spans="1:8" x14ac:dyDescent="0.2">
      <c r="A7" s="1" t="s">
        <v>117</v>
      </c>
      <c r="B7" s="86"/>
      <c r="C7" s="86"/>
      <c r="D7" s="86"/>
      <c r="E7" s="87"/>
      <c r="F7" s="94" t="str">
        <f>IF(E7&lt;&gt;0,E7+D7,"")</f>
        <v/>
      </c>
      <c r="G7" s="95"/>
      <c r="H7" s="90" t="str">
        <f t="shared" si="0"/>
        <v/>
      </c>
    </row>
    <row r="8" spans="1:8" x14ac:dyDescent="0.2">
      <c r="A8" s="1" t="s">
        <v>118</v>
      </c>
      <c r="B8" s="86"/>
      <c r="C8" s="86"/>
      <c r="D8" s="86"/>
      <c r="E8" s="87"/>
      <c r="F8" s="88"/>
      <c r="G8" s="89"/>
      <c r="H8" s="90" t="str">
        <f t="shared" si="0"/>
        <v/>
      </c>
    </row>
    <row r="9" spans="1:8" x14ac:dyDescent="0.2">
      <c r="A9" s="1" t="s">
        <v>119</v>
      </c>
      <c r="B9" s="29">
        <f>[1]PRECINCTS!$D$149</f>
        <v>123</v>
      </c>
      <c r="C9" s="29">
        <f>[1]PRECINCTS!$D$150</f>
        <v>36</v>
      </c>
      <c r="D9" s="29">
        <f>'Hospital Dist.'!D10</f>
        <v>340</v>
      </c>
      <c r="E9" s="29">
        <f>'Hospital Dist.'!E10</f>
        <v>0</v>
      </c>
      <c r="F9" s="29">
        <f>'Hospital Dist.'!F10</f>
        <v>340</v>
      </c>
      <c r="G9" s="29">
        <f>'Hospital Dist.'!G10</f>
        <v>161</v>
      </c>
      <c r="H9" s="59">
        <f t="shared" si="0"/>
        <v>0.47352941176470587</v>
      </c>
    </row>
    <row r="10" spans="1:8" x14ac:dyDescent="0.2">
      <c r="A10" s="1" t="s">
        <v>156</v>
      </c>
      <c r="B10" s="86"/>
      <c r="C10" s="86"/>
      <c r="D10" s="86"/>
      <c r="E10" s="87"/>
      <c r="F10" s="88"/>
      <c r="G10" s="89"/>
      <c r="H10" s="90" t="str">
        <f t="shared" si="0"/>
        <v/>
      </c>
    </row>
    <row r="11" spans="1:8" x14ac:dyDescent="0.2">
      <c r="A11" s="1" t="s">
        <v>120</v>
      </c>
      <c r="B11" s="86"/>
      <c r="C11" s="86"/>
      <c r="D11" s="86"/>
      <c r="E11" s="87"/>
      <c r="F11" s="88"/>
      <c r="G11" s="89"/>
      <c r="H11" s="91" t="str">
        <f t="shared" si="0"/>
        <v/>
      </c>
    </row>
    <row r="12" spans="1:8" x14ac:dyDescent="0.2">
      <c r="A12" s="8" t="s">
        <v>0</v>
      </c>
      <c r="B12" s="17">
        <f t="shared" ref="B12:G12" si="1">SUM(B7:B11)</f>
        <v>123</v>
      </c>
      <c r="C12" s="17">
        <f t="shared" si="1"/>
        <v>36</v>
      </c>
      <c r="D12" s="17">
        <f t="shared" si="1"/>
        <v>340</v>
      </c>
      <c r="E12" s="17">
        <f t="shared" si="1"/>
        <v>0</v>
      </c>
      <c r="F12" s="17">
        <f t="shared" si="1"/>
        <v>340</v>
      </c>
      <c r="G12" s="58">
        <f t="shared" si="1"/>
        <v>161</v>
      </c>
      <c r="H12" s="21">
        <f t="shared" si="0"/>
        <v>0.47352941176470587</v>
      </c>
    </row>
    <row r="14" spans="1:8" x14ac:dyDescent="0.2">
      <c r="E14" s="10" t="s">
        <v>43</v>
      </c>
      <c r="G14" s="106">
        <f>G12</f>
        <v>161</v>
      </c>
    </row>
    <row r="16" spans="1:8" x14ac:dyDescent="0.2">
      <c r="A16" s="65"/>
      <c r="B16" s="147"/>
      <c r="C16" s="148"/>
      <c r="D16" s="147"/>
      <c r="E16" s="149"/>
      <c r="F16" s="149"/>
      <c r="G16" s="149"/>
      <c r="H16" s="148"/>
    </row>
    <row r="17" spans="1:8" x14ac:dyDescent="0.2">
      <c r="A17" s="66"/>
      <c r="B17" s="150" t="s">
        <v>46</v>
      </c>
      <c r="C17" s="151"/>
      <c r="D17" s="150" t="s">
        <v>4</v>
      </c>
      <c r="E17" s="152"/>
      <c r="F17" s="152"/>
      <c r="G17" s="152"/>
      <c r="H17" s="151"/>
    </row>
    <row r="18" spans="1:8" x14ac:dyDescent="0.2">
      <c r="A18" s="66"/>
      <c r="B18" s="150" t="s">
        <v>47</v>
      </c>
      <c r="C18" s="151"/>
      <c r="D18" s="150" t="s">
        <v>5</v>
      </c>
      <c r="E18" s="152"/>
      <c r="F18" s="152"/>
      <c r="G18" s="152"/>
      <c r="H18" s="151"/>
    </row>
    <row r="19" spans="1:8" x14ac:dyDescent="0.2">
      <c r="A19" s="67"/>
      <c r="B19" s="141" t="s">
        <v>48</v>
      </c>
      <c r="C19" s="142"/>
      <c r="D19" s="143"/>
      <c r="E19" s="144"/>
      <c r="F19" s="144"/>
      <c r="G19" s="144"/>
      <c r="H19" s="145"/>
    </row>
    <row r="20" spans="1:8" ht="68.25" customHeight="1" thickBot="1" x14ac:dyDescent="0.25">
      <c r="A20" s="68" t="s">
        <v>6</v>
      </c>
      <c r="B20" s="69" t="s">
        <v>49</v>
      </c>
      <c r="C20" s="70" t="s">
        <v>50</v>
      </c>
      <c r="D20" s="71" t="s">
        <v>11</v>
      </c>
      <c r="E20" s="71" t="s">
        <v>12</v>
      </c>
      <c r="F20" s="71" t="s">
        <v>18</v>
      </c>
      <c r="G20" s="71" t="s">
        <v>19</v>
      </c>
      <c r="H20" s="69" t="s">
        <v>13</v>
      </c>
    </row>
    <row r="21" spans="1:8" ht="13.5" thickBot="1" x14ac:dyDescent="0.25">
      <c r="A21" s="72"/>
      <c r="B21" s="73"/>
      <c r="C21" s="73"/>
      <c r="D21" s="73"/>
      <c r="E21" s="73"/>
      <c r="F21" s="73"/>
      <c r="G21" s="73"/>
      <c r="H21" s="74"/>
    </row>
    <row r="22" spans="1:8" x14ac:dyDescent="0.2">
      <c r="A22" s="1" t="s">
        <v>116</v>
      </c>
      <c r="B22" s="18">
        <f>VLOOKUP($A22,TenexReport,33,FALSE)</f>
        <v>126</v>
      </c>
      <c r="C22" s="18">
        <f>VLOOKUP($A22,TenexReport,34,FALSE)</f>
        <v>97</v>
      </c>
      <c r="D22" s="19">
        <f>'Hospital Dist.'!D7</f>
        <v>712</v>
      </c>
      <c r="E22" s="19">
        <v>0</v>
      </c>
      <c r="F22" s="101">
        <f>D22+E22</f>
        <v>712</v>
      </c>
      <c r="G22" s="19">
        <f>'Hospital Dist.'!G7</f>
        <v>369</v>
      </c>
      <c r="H22" s="75">
        <f t="shared" ref="H22:H27" si="2">IF(G22&lt;&gt;0,G22/F22,"")</f>
        <v>0.5182584269662921</v>
      </c>
    </row>
    <row r="23" spans="1:8" x14ac:dyDescent="0.2">
      <c r="A23" s="1" t="s">
        <v>117</v>
      </c>
      <c r="B23" s="76">
        <f>VLOOKUP($A23,TenexReport,33,FALSE)</f>
        <v>168</v>
      </c>
      <c r="C23" s="76">
        <f>VLOOKUP($A23,TenexReport,34,FALSE)</f>
        <v>101</v>
      </c>
      <c r="D23" s="22">
        <f>'Hospital Dist.'!D8</f>
        <v>885</v>
      </c>
      <c r="E23" s="22">
        <v>0</v>
      </c>
      <c r="F23" s="102">
        <f t="shared" ref="F23:F24" si="3">D23+E23</f>
        <v>885</v>
      </c>
      <c r="G23" s="22">
        <f>'Hospital Dist.'!G8</f>
        <v>465</v>
      </c>
      <c r="H23" s="75">
        <f t="shared" si="2"/>
        <v>0.52542372881355937</v>
      </c>
    </row>
    <row r="24" spans="1:8" x14ac:dyDescent="0.2">
      <c r="A24" s="1" t="s">
        <v>118</v>
      </c>
      <c r="B24" s="76">
        <f>VLOOKUP($A24,TenexReport,33,FALSE)</f>
        <v>202</v>
      </c>
      <c r="C24" s="76">
        <f>VLOOKUP($A24,TenexReport,34,FALSE)</f>
        <v>132</v>
      </c>
      <c r="D24" s="22">
        <f>'Hospital Dist.'!D9</f>
        <v>1028</v>
      </c>
      <c r="E24" s="22">
        <v>0</v>
      </c>
      <c r="F24" s="102">
        <f t="shared" si="3"/>
        <v>1028</v>
      </c>
      <c r="G24" s="22">
        <f>'Hospital Dist.'!G9</f>
        <v>507</v>
      </c>
      <c r="H24" s="75">
        <f t="shared" si="2"/>
        <v>0.49319066147859925</v>
      </c>
    </row>
    <row r="25" spans="1:8" x14ac:dyDescent="0.2">
      <c r="A25" s="1" t="s">
        <v>119</v>
      </c>
      <c r="B25" s="96"/>
      <c r="C25" s="96"/>
      <c r="D25" s="97"/>
      <c r="E25" s="97"/>
      <c r="F25" s="98" t="str">
        <f t="shared" ref="F25:F27" si="4">IF(E25&lt;&gt;0,E25+D25,"")</f>
        <v/>
      </c>
      <c r="G25" s="97"/>
      <c r="H25" s="99" t="str">
        <f t="shared" si="2"/>
        <v/>
      </c>
    </row>
    <row r="26" spans="1:8" x14ac:dyDescent="0.2">
      <c r="A26" s="1" t="s">
        <v>156</v>
      </c>
      <c r="B26" s="96"/>
      <c r="C26" s="96"/>
      <c r="D26" s="97"/>
      <c r="E26" s="97"/>
      <c r="F26" s="98" t="str">
        <f t="shared" si="4"/>
        <v/>
      </c>
      <c r="G26" s="97"/>
      <c r="H26" s="99" t="str">
        <f t="shared" si="2"/>
        <v/>
      </c>
    </row>
    <row r="27" spans="1:8" x14ac:dyDescent="0.2">
      <c r="A27" s="1" t="s">
        <v>120</v>
      </c>
      <c r="B27" s="100"/>
      <c r="C27" s="100"/>
      <c r="D27" s="97"/>
      <c r="E27" s="97"/>
      <c r="F27" s="98" t="str">
        <f t="shared" si="4"/>
        <v/>
      </c>
      <c r="G27" s="97"/>
      <c r="H27" s="99" t="str">
        <f t="shared" si="2"/>
        <v/>
      </c>
    </row>
    <row r="28" spans="1:8" x14ac:dyDescent="0.2">
      <c r="A28" s="77" t="s">
        <v>0</v>
      </c>
      <c r="B28" s="78">
        <f t="shared" ref="B28:G28" si="5">SUM(B22:B27)</f>
        <v>496</v>
      </c>
      <c r="C28" s="79">
        <f t="shared" si="5"/>
        <v>330</v>
      </c>
      <c r="D28" s="79">
        <f t="shared" si="5"/>
        <v>2625</v>
      </c>
      <c r="E28" s="79">
        <f t="shared" si="5"/>
        <v>0</v>
      </c>
      <c r="F28" s="79">
        <f t="shared" si="5"/>
        <v>2625</v>
      </c>
      <c r="G28" s="79">
        <f t="shared" si="5"/>
        <v>1341</v>
      </c>
      <c r="H28" s="80">
        <f>IF(G28&lt;&gt;0,G28/F28,"")</f>
        <v>0.5108571428571429</v>
      </c>
    </row>
    <row r="29" spans="1:8" x14ac:dyDescent="0.2">
      <c r="A29"/>
      <c r="B29"/>
      <c r="C29"/>
      <c r="D29"/>
      <c r="E29"/>
      <c r="F29"/>
      <c r="G29"/>
      <c r="H29"/>
    </row>
    <row r="30" spans="1:8" x14ac:dyDescent="0.2">
      <c r="A30"/>
      <c r="B30"/>
      <c r="C30"/>
      <c r="D30" s="146" t="s">
        <v>42</v>
      </c>
      <c r="E30" s="146"/>
      <c r="F30" s="146"/>
      <c r="G30" s="105">
        <f>G28</f>
        <v>1341</v>
      </c>
      <c r="H30"/>
    </row>
  </sheetData>
  <sheetProtection selectLockedCells="1"/>
  <mergeCells count="16">
    <mergeCell ref="B19:C19"/>
    <mergeCell ref="D19:H19"/>
    <mergeCell ref="D30:F30"/>
    <mergeCell ref="B16:C16"/>
    <mergeCell ref="D16:H16"/>
    <mergeCell ref="B17:C17"/>
    <mergeCell ref="D17:H17"/>
    <mergeCell ref="B18:C18"/>
    <mergeCell ref="D18:H18"/>
    <mergeCell ref="D2:H2"/>
    <mergeCell ref="D3:H3"/>
    <mergeCell ref="B1:C1"/>
    <mergeCell ref="A1:A3"/>
    <mergeCell ref="D1:H1"/>
    <mergeCell ref="B2:C2"/>
    <mergeCell ref="B3:C3"/>
  </mergeCells>
  <printOptions horizontalCentered="1"/>
  <pageMargins left="0.5" right="0.5" top="0.7" bottom="0.25" header="0.25" footer="0.35"/>
  <pageSetup pageOrder="overThenDown" orientation="landscape" horizontalDpi="4294967295" verticalDpi="4294967295" r:id="rId1"/>
  <headerFooter alignWithMargins="0">
    <oddHeader>&amp;C&amp;"Helv,Bold"POWER COUNTY RESULTS
PRIMARY ELECTION    MAY 19, 2020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5"/>
  <sheetViews>
    <sheetView view="pageLayout" topLeftCell="A2" zoomScaleNormal="100" workbookViewId="0">
      <selection activeCell="A11" sqref="A11"/>
    </sheetView>
  </sheetViews>
  <sheetFormatPr defaultRowHeight="12.75" x14ac:dyDescent="0.2"/>
  <cols>
    <col min="1" max="1" width="22.28515625" bestFit="1" customWidth="1"/>
  </cols>
  <sheetData>
    <row r="1" spans="1:8" x14ac:dyDescent="0.2">
      <c r="A1" s="65"/>
      <c r="B1" s="153" t="s">
        <v>51</v>
      </c>
      <c r="C1" s="154"/>
      <c r="D1" s="147"/>
      <c r="E1" s="149"/>
      <c r="F1" s="149"/>
      <c r="G1" s="149"/>
      <c r="H1" s="148"/>
    </row>
    <row r="2" spans="1:8" x14ac:dyDescent="0.2">
      <c r="A2" s="66"/>
      <c r="B2" s="150" t="s">
        <v>52</v>
      </c>
      <c r="C2" s="151"/>
      <c r="D2" s="150" t="s">
        <v>4</v>
      </c>
      <c r="E2" s="152"/>
      <c r="F2" s="152"/>
      <c r="G2" s="152"/>
      <c r="H2" s="151"/>
    </row>
    <row r="3" spans="1:8" x14ac:dyDescent="0.2">
      <c r="A3" s="66"/>
      <c r="B3" s="150" t="s">
        <v>53</v>
      </c>
      <c r="C3" s="151"/>
      <c r="D3" s="150" t="s">
        <v>5</v>
      </c>
      <c r="E3" s="152"/>
      <c r="F3" s="152"/>
      <c r="G3" s="152"/>
      <c r="H3" s="151"/>
    </row>
    <row r="4" spans="1:8" x14ac:dyDescent="0.2">
      <c r="A4" s="67"/>
      <c r="B4" s="141" t="s">
        <v>54</v>
      </c>
      <c r="C4" s="142"/>
      <c r="D4" s="143"/>
      <c r="E4" s="144"/>
      <c r="F4" s="144"/>
      <c r="G4" s="144"/>
      <c r="H4" s="145"/>
    </row>
    <row r="5" spans="1:8" ht="63.75" thickBot="1" x14ac:dyDescent="0.25">
      <c r="A5" s="68" t="s">
        <v>6</v>
      </c>
      <c r="B5" s="69" t="s">
        <v>55</v>
      </c>
      <c r="C5" s="70" t="s">
        <v>56</v>
      </c>
      <c r="D5" s="71" t="s">
        <v>11</v>
      </c>
      <c r="E5" s="71" t="s">
        <v>12</v>
      </c>
      <c r="F5" s="71" t="s">
        <v>18</v>
      </c>
      <c r="G5" s="71" t="s">
        <v>19</v>
      </c>
      <c r="H5" s="69" t="s">
        <v>13</v>
      </c>
    </row>
    <row r="6" spans="1:8" ht="13.5" thickBot="1" x14ac:dyDescent="0.25">
      <c r="A6" s="72"/>
      <c r="B6" s="73"/>
      <c r="C6" s="73"/>
      <c r="D6" s="73"/>
      <c r="E6" s="73"/>
      <c r="F6" s="73"/>
      <c r="G6" s="73"/>
      <c r="H6" s="74"/>
    </row>
    <row r="7" spans="1:8" x14ac:dyDescent="0.2">
      <c r="A7" s="1" t="s">
        <v>116</v>
      </c>
      <c r="B7" s="18">
        <f>VLOOKUP($A$7,TenexReport,29,FALSE)</f>
        <v>227</v>
      </c>
      <c r="C7" s="18">
        <f>VLOOKUP($A$7,TenexReport,30,FALSE)</f>
        <v>135</v>
      </c>
      <c r="D7" s="19">
        <v>712</v>
      </c>
      <c r="E7" s="19">
        <v>0</v>
      </c>
      <c r="F7" s="101">
        <f>D7+E7</f>
        <v>712</v>
      </c>
      <c r="G7" s="19">
        <v>369</v>
      </c>
      <c r="H7" s="75">
        <f t="shared" ref="H7:H12" si="0">IF(G7&lt;&gt;0,G7/F7,"")</f>
        <v>0.5182584269662921</v>
      </c>
    </row>
    <row r="8" spans="1:8" x14ac:dyDescent="0.2">
      <c r="A8" s="1" t="s">
        <v>117</v>
      </c>
      <c r="B8" s="76">
        <f>VLOOKUP($A$8,TenexReport,29,FALSE)</f>
        <v>256</v>
      </c>
      <c r="C8" s="76">
        <f>VLOOKUP($A$8,TenexReport,30,FALSE)</f>
        <v>196</v>
      </c>
      <c r="D8" s="22">
        <v>885</v>
      </c>
      <c r="E8" s="22">
        <v>0</v>
      </c>
      <c r="F8" s="102">
        <f t="shared" ref="F8:F13" si="1">D8+E8</f>
        <v>885</v>
      </c>
      <c r="G8" s="22">
        <v>465</v>
      </c>
      <c r="H8" s="75">
        <f t="shared" si="0"/>
        <v>0.52542372881355937</v>
      </c>
    </row>
    <row r="9" spans="1:8" x14ac:dyDescent="0.2">
      <c r="A9" s="1" t="s">
        <v>118</v>
      </c>
      <c r="B9" s="76">
        <f>VLOOKUP($A$9,TenexReport,29,FALSE)</f>
        <v>262</v>
      </c>
      <c r="C9" s="76">
        <f>VLOOKUP($A$9,TenexReport,30,FALSE)</f>
        <v>228</v>
      </c>
      <c r="D9" s="22">
        <v>1028</v>
      </c>
      <c r="E9" s="22">
        <v>0</v>
      </c>
      <c r="F9" s="102">
        <f t="shared" si="1"/>
        <v>1028</v>
      </c>
      <c r="G9" s="22">
        <v>507</v>
      </c>
      <c r="H9" s="75">
        <f t="shared" si="0"/>
        <v>0.49319066147859925</v>
      </c>
    </row>
    <row r="10" spans="1:8" x14ac:dyDescent="0.2">
      <c r="A10" s="1" t="s">
        <v>119</v>
      </c>
      <c r="B10" s="76">
        <f>VLOOKUP($A$10,TenexReport,29,FALSE)</f>
        <v>74</v>
      </c>
      <c r="C10" s="76">
        <f>VLOOKUP($A$10,TenexReport,30,FALSE)</f>
        <v>83</v>
      </c>
      <c r="D10" s="22">
        <v>340</v>
      </c>
      <c r="E10" s="22">
        <v>0</v>
      </c>
      <c r="F10" s="102">
        <f t="shared" si="1"/>
        <v>340</v>
      </c>
      <c r="G10" s="22">
        <v>161</v>
      </c>
      <c r="H10" s="75">
        <f t="shared" si="0"/>
        <v>0.47352941176470587</v>
      </c>
    </row>
    <row r="11" spans="1:8" x14ac:dyDescent="0.2">
      <c r="A11" s="1" t="s">
        <v>156</v>
      </c>
      <c r="B11" s="76">
        <f>VLOOKUP($A$11,TenexReport,29,FALSE)</f>
        <v>29</v>
      </c>
      <c r="C11" s="76">
        <f>VLOOKUP($A$11,TenexReport,30,FALSE)</f>
        <v>29</v>
      </c>
      <c r="D11" s="22">
        <v>122</v>
      </c>
      <c r="E11" s="22">
        <v>0</v>
      </c>
      <c r="F11" s="102">
        <f t="shared" si="1"/>
        <v>122</v>
      </c>
      <c r="G11" s="22">
        <v>59</v>
      </c>
      <c r="H11" s="75">
        <f t="shared" si="0"/>
        <v>0.48360655737704916</v>
      </c>
    </row>
    <row r="12" spans="1:8" x14ac:dyDescent="0.2">
      <c r="A12" s="1" t="s">
        <v>120</v>
      </c>
      <c r="B12" s="84">
        <f>VLOOKUP($A$12,TenexReport,29,FALSE)</f>
        <v>72</v>
      </c>
      <c r="C12" s="84">
        <f>VLOOKUP($A$12,TenexReport,30,FALSE)</f>
        <v>37</v>
      </c>
      <c r="D12" s="22">
        <v>361</v>
      </c>
      <c r="E12" s="22">
        <v>0</v>
      </c>
      <c r="F12" s="103">
        <f t="shared" si="1"/>
        <v>361</v>
      </c>
      <c r="G12" s="22">
        <v>115</v>
      </c>
      <c r="H12" s="75">
        <f t="shared" si="0"/>
        <v>0.31855955678670361</v>
      </c>
    </row>
    <row r="13" spans="1:8" x14ac:dyDescent="0.2">
      <c r="A13" s="77" t="s">
        <v>0</v>
      </c>
      <c r="B13" s="78">
        <f t="shared" ref="B13:G13" si="2">SUM(B7:B12)</f>
        <v>920</v>
      </c>
      <c r="C13" s="79">
        <f t="shared" si="2"/>
        <v>708</v>
      </c>
      <c r="D13" s="79">
        <f t="shared" si="2"/>
        <v>3448</v>
      </c>
      <c r="E13" s="79">
        <f t="shared" si="2"/>
        <v>0</v>
      </c>
      <c r="F13" s="104">
        <f t="shared" si="1"/>
        <v>3448</v>
      </c>
      <c r="G13" s="79">
        <f t="shared" si="2"/>
        <v>1676</v>
      </c>
      <c r="H13" s="80">
        <f>IF(G13&lt;&gt;0,G13/F13,"")</f>
        <v>0.48607888631090485</v>
      </c>
    </row>
    <row r="15" spans="1:8" x14ac:dyDescent="0.2">
      <c r="D15" s="146" t="s">
        <v>42</v>
      </c>
      <c r="E15" s="146"/>
      <c r="F15" s="146"/>
      <c r="G15" s="105">
        <f>G13</f>
        <v>1676</v>
      </c>
    </row>
  </sheetData>
  <mergeCells count="9">
    <mergeCell ref="B4:C4"/>
    <mergeCell ref="D4:H4"/>
    <mergeCell ref="D15:F15"/>
    <mergeCell ref="B1:C1"/>
    <mergeCell ref="D1:H1"/>
    <mergeCell ref="B2:C2"/>
    <mergeCell ref="D2:H2"/>
    <mergeCell ref="B3:C3"/>
    <mergeCell ref="D3:H3"/>
  </mergeCells>
  <printOptions horizontalCentered="1"/>
  <pageMargins left="1" right="0.5" top="1" bottom="0.5" header="0.5" footer="0.35"/>
  <pageSetup orientation="landscape" horizontalDpi="4294967295" verticalDpi="4294967295" r:id="rId1"/>
  <headerFooter alignWithMargins="0">
    <oddHeader>&amp;C&amp;"Helv,Bold"POWER COUNTY RESULTS
PRIMARY ELECTION    MAY 19, 2020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AH12"/>
  <sheetViews>
    <sheetView workbookViewId="0">
      <selection activeCell="J6" sqref="J6:J11"/>
    </sheetView>
  </sheetViews>
  <sheetFormatPr defaultColWidth="9.140625" defaultRowHeight="15" x14ac:dyDescent="0.25"/>
  <cols>
    <col min="1" max="1" width="23" style="107" customWidth="1"/>
    <col min="2" max="2" width="1.85546875" style="107" customWidth="1"/>
    <col min="3" max="3" width="7.85546875" style="107" customWidth="1"/>
    <col min="4" max="4" width="13.85546875" style="107" customWidth="1"/>
    <col min="5" max="6" width="14.85546875" style="107" customWidth="1"/>
    <col min="7" max="7" width="33.85546875" style="107" bestFit="1" customWidth="1"/>
    <col min="8" max="8" width="42.42578125" style="107" bestFit="1" customWidth="1"/>
    <col min="9" max="9" width="20.42578125" style="107" bestFit="1" customWidth="1"/>
    <col min="10" max="10" width="12.28515625" style="107" bestFit="1" customWidth="1"/>
    <col min="11" max="11" width="22.42578125" style="107" bestFit="1" customWidth="1"/>
    <col min="12" max="13" width="17.140625" style="107" customWidth="1"/>
    <col min="14" max="14" width="28.7109375" style="107" bestFit="1" customWidth="1"/>
    <col min="15" max="16" width="42.28515625" style="107" bestFit="1" customWidth="1"/>
    <col min="17" max="17" width="20.7109375" style="107" bestFit="1" customWidth="1"/>
    <col min="18" max="21" width="18.140625" style="107" customWidth="1"/>
    <col min="22" max="23" width="11.5703125" style="107" customWidth="1"/>
    <col min="24" max="24" width="28.5703125" style="107" bestFit="1" customWidth="1"/>
    <col min="25" max="25" width="27.28515625" style="107" bestFit="1" customWidth="1"/>
    <col min="26" max="26" width="20.42578125" style="107" bestFit="1" customWidth="1"/>
    <col min="27" max="27" width="20.7109375" style="107" bestFit="1" customWidth="1"/>
    <col min="28" max="28" width="14.85546875" style="107" bestFit="1" customWidth="1"/>
    <col min="29" max="30" width="20.7109375" style="107" customWidth="1"/>
    <col min="31" max="34" width="12.28515625" style="107" customWidth="1"/>
    <col min="35" max="16384" width="9.140625" style="107"/>
  </cols>
  <sheetData>
    <row r="1" spans="1:34" ht="15" customHeight="1" x14ac:dyDescent="0.25">
      <c r="A1" s="155" t="s">
        <v>80</v>
      </c>
      <c r="B1" s="155"/>
      <c r="C1" s="107">
        <v>3</v>
      </c>
      <c r="D1" s="107">
        <f>C1+1</f>
        <v>4</v>
      </c>
      <c r="E1" s="107">
        <f t="shared" ref="E1:AH1" si="0">D1+1</f>
        <v>5</v>
      </c>
      <c r="F1" s="107">
        <f t="shared" si="0"/>
        <v>6</v>
      </c>
      <c r="G1" s="107">
        <f t="shared" si="0"/>
        <v>7</v>
      </c>
      <c r="H1" s="107">
        <f t="shared" si="0"/>
        <v>8</v>
      </c>
      <c r="I1" s="107">
        <f t="shared" si="0"/>
        <v>9</v>
      </c>
      <c r="J1" s="107">
        <f t="shared" si="0"/>
        <v>10</v>
      </c>
      <c r="K1" s="107">
        <f t="shared" si="0"/>
        <v>11</v>
      </c>
      <c r="L1" s="107">
        <f t="shared" si="0"/>
        <v>12</v>
      </c>
      <c r="M1" s="107">
        <f t="shared" si="0"/>
        <v>13</v>
      </c>
      <c r="N1" s="107">
        <f t="shared" si="0"/>
        <v>14</v>
      </c>
      <c r="O1" s="107">
        <f t="shared" si="0"/>
        <v>15</v>
      </c>
      <c r="P1" s="107">
        <f t="shared" si="0"/>
        <v>16</v>
      </c>
      <c r="Q1" s="107">
        <f t="shared" si="0"/>
        <v>17</v>
      </c>
      <c r="R1" s="107">
        <f t="shared" si="0"/>
        <v>18</v>
      </c>
      <c r="S1" s="107">
        <f t="shared" si="0"/>
        <v>19</v>
      </c>
      <c r="T1" s="107">
        <f t="shared" si="0"/>
        <v>20</v>
      </c>
      <c r="U1" s="107">
        <f t="shared" si="0"/>
        <v>21</v>
      </c>
      <c r="V1" s="107">
        <f t="shared" si="0"/>
        <v>22</v>
      </c>
      <c r="W1" s="107">
        <f t="shared" si="0"/>
        <v>23</v>
      </c>
      <c r="X1" s="107">
        <f t="shared" si="0"/>
        <v>24</v>
      </c>
      <c r="Y1" s="107">
        <f t="shared" si="0"/>
        <v>25</v>
      </c>
      <c r="Z1" s="107">
        <f t="shared" si="0"/>
        <v>26</v>
      </c>
      <c r="AA1" s="107">
        <f t="shared" si="0"/>
        <v>27</v>
      </c>
      <c r="AB1" s="107">
        <f t="shared" si="0"/>
        <v>28</v>
      </c>
      <c r="AC1" s="107">
        <f t="shared" si="0"/>
        <v>29</v>
      </c>
      <c r="AD1" s="107">
        <f t="shared" si="0"/>
        <v>30</v>
      </c>
      <c r="AE1" s="107">
        <f t="shared" si="0"/>
        <v>31</v>
      </c>
      <c r="AF1" s="107">
        <f t="shared" si="0"/>
        <v>32</v>
      </c>
      <c r="AG1" s="107">
        <f t="shared" si="0"/>
        <v>33</v>
      </c>
      <c r="AH1" s="107">
        <f t="shared" si="0"/>
        <v>34</v>
      </c>
    </row>
    <row r="2" spans="1:34" ht="2.25" customHeight="1" x14ac:dyDescent="0.25"/>
    <row r="3" spans="1:34" ht="15" customHeight="1" x14ac:dyDescent="0.25">
      <c r="E3" s="155" t="s">
        <v>81</v>
      </c>
      <c r="F3" s="155"/>
      <c r="G3" s="108" t="s">
        <v>82</v>
      </c>
      <c r="H3" s="108" t="s">
        <v>83</v>
      </c>
      <c r="I3" s="108" t="s">
        <v>84</v>
      </c>
      <c r="J3" s="108" t="s">
        <v>85</v>
      </c>
      <c r="K3" s="108" t="s">
        <v>86</v>
      </c>
      <c r="L3" s="155" t="s">
        <v>87</v>
      </c>
      <c r="M3" s="155"/>
      <c r="N3" s="108" t="s">
        <v>88</v>
      </c>
      <c r="O3" s="108" t="s">
        <v>89</v>
      </c>
      <c r="P3" s="108" t="s">
        <v>90</v>
      </c>
      <c r="Q3" s="108" t="s">
        <v>91</v>
      </c>
      <c r="R3" s="155" t="s">
        <v>85</v>
      </c>
      <c r="S3" s="155"/>
      <c r="T3" s="155"/>
      <c r="U3" s="155"/>
      <c r="V3" s="155" t="s">
        <v>92</v>
      </c>
      <c r="W3" s="155"/>
      <c r="X3" s="108" t="s">
        <v>93</v>
      </c>
      <c r="Y3" s="108" t="s">
        <v>94</v>
      </c>
      <c r="Z3" s="108" t="s">
        <v>95</v>
      </c>
      <c r="AA3" s="108" t="s">
        <v>96</v>
      </c>
      <c r="AB3" s="108" t="s">
        <v>97</v>
      </c>
      <c r="AC3" s="155" t="s">
        <v>98</v>
      </c>
      <c r="AD3" s="155"/>
      <c r="AE3" s="155" t="s">
        <v>99</v>
      </c>
      <c r="AF3" s="155"/>
      <c r="AG3" s="155" t="s">
        <v>100</v>
      </c>
      <c r="AH3" s="155"/>
    </row>
    <row r="4" spans="1:34" ht="15" customHeight="1" x14ac:dyDescent="0.25">
      <c r="A4" s="108" t="s">
        <v>101</v>
      </c>
      <c r="B4" s="155" t="s">
        <v>102</v>
      </c>
      <c r="C4" s="155"/>
      <c r="D4" s="108" t="s">
        <v>103</v>
      </c>
      <c r="E4" s="108" t="s">
        <v>38</v>
      </c>
      <c r="F4" s="108" t="s">
        <v>58</v>
      </c>
      <c r="G4" s="108" t="s">
        <v>60</v>
      </c>
      <c r="H4" s="108" t="s">
        <v>39</v>
      </c>
      <c r="I4" s="108" t="s">
        <v>104</v>
      </c>
      <c r="J4" s="108" t="s">
        <v>105</v>
      </c>
      <c r="K4" s="108" t="s">
        <v>59</v>
      </c>
      <c r="L4" s="108" t="s">
        <v>61</v>
      </c>
      <c r="M4" s="108" t="s">
        <v>31</v>
      </c>
      <c r="N4" s="108" t="s">
        <v>33</v>
      </c>
      <c r="O4" s="108" t="s">
        <v>40</v>
      </c>
      <c r="P4" s="108" t="s">
        <v>41</v>
      </c>
      <c r="Q4" s="108" t="s">
        <v>106</v>
      </c>
      <c r="R4" s="108" t="s">
        <v>107</v>
      </c>
      <c r="S4" s="108" t="s">
        <v>72</v>
      </c>
      <c r="T4" s="108" t="s">
        <v>108</v>
      </c>
      <c r="U4" s="108" t="s">
        <v>109</v>
      </c>
      <c r="V4" s="108" t="s">
        <v>76</v>
      </c>
      <c r="W4" s="108" t="s">
        <v>110</v>
      </c>
      <c r="X4" s="108" t="s">
        <v>111</v>
      </c>
      <c r="Y4" s="108" t="s">
        <v>78</v>
      </c>
      <c r="Z4" s="108" t="s">
        <v>64</v>
      </c>
      <c r="AA4" s="108" t="s">
        <v>63</v>
      </c>
      <c r="AB4" s="108" t="s">
        <v>65</v>
      </c>
      <c r="AC4" s="108" t="s">
        <v>112</v>
      </c>
      <c r="AD4" s="108" t="s">
        <v>113</v>
      </c>
      <c r="AE4" s="108" t="s">
        <v>55</v>
      </c>
      <c r="AF4" s="108" t="s">
        <v>56</v>
      </c>
      <c r="AG4" s="108" t="s">
        <v>114</v>
      </c>
      <c r="AH4" s="108" t="s">
        <v>115</v>
      </c>
    </row>
    <row r="5" spans="1:34" ht="15" customHeight="1" x14ac:dyDescent="0.25">
      <c r="A5" s="108" t="s">
        <v>122</v>
      </c>
      <c r="B5" s="108" t="s">
        <v>123</v>
      </c>
      <c r="C5" s="108" t="s">
        <v>124</v>
      </c>
      <c r="D5" s="108" t="s">
        <v>125</v>
      </c>
      <c r="E5" s="108" t="s">
        <v>126</v>
      </c>
      <c r="F5" s="108" t="s">
        <v>127</v>
      </c>
      <c r="G5" s="108" t="s">
        <v>128</v>
      </c>
      <c r="H5" s="108" t="s">
        <v>129</v>
      </c>
      <c r="I5" s="108" t="s">
        <v>130</v>
      </c>
      <c r="J5" s="108" t="s">
        <v>131</v>
      </c>
      <c r="K5" s="108" t="s">
        <v>132</v>
      </c>
      <c r="L5" s="108" t="s">
        <v>133</v>
      </c>
      <c r="M5" s="108" t="s">
        <v>134</v>
      </c>
      <c r="N5" s="108" t="s">
        <v>135</v>
      </c>
      <c r="O5" s="108" t="s">
        <v>136</v>
      </c>
      <c r="P5" s="108" t="s">
        <v>137</v>
      </c>
      <c r="Q5" s="108" t="s">
        <v>138</v>
      </c>
      <c r="R5" s="108" t="s">
        <v>155</v>
      </c>
      <c r="S5" s="108" t="s">
        <v>139</v>
      </c>
      <c r="T5" s="108" t="s">
        <v>140</v>
      </c>
      <c r="U5" s="108" t="s">
        <v>141</v>
      </c>
      <c r="V5" s="108" t="s">
        <v>142</v>
      </c>
      <c r="W5" s="108" t="s">
        <v>143</v>
      </c>
      <c r="X5" s="108" t="s">
        <v>144</v>
      </c>
      <c r="Y5" s="108" t="s">
        <v>145</v>
      </c>
      <c r="Z5" s="108" t="s">
        <v>146</v>
      </c>
      <c r="AA5" s="108" t="s">
        <v>147</v>
      </c>
      <c r="AB5" s="108" t="s">
        <v>148</v>
      </c>
      <c r="AC5" s="108" t="s">
        <v>149</v>
      </c>
      <c r="AD5" s="108" t="s">
        <v>150</v>
      </c>
      <c r="AE5" s="108" t="s">
        <v>151</v>
      </c>
      <c r="AF5" s="108" t="s">
        <v>152</v>
      </c>
      <c r="AG5" s="108" t="s">
        <v>153</v>
      </c>
      <c r="AH5" s="108" t="s">
        <v>154</v>
      </c>
    </row>
    <row r="6" spans="1:34" ht="15" customHeight="1" x14ac:dyDescent="0.25">
      <c r="A6" s="108" t="s">
        <v>116</v>
      </c>
      <c r="B6" s="155">
        <v>369</v>
      </c>
      <c r="C6" s="155"/>
      <c r="D6" s="108">
        <v>712</v>
      </c>
      <c r="E6" s="109">
        <v>58</v>
      </c>
      <c r="F6" s="109">
        <v>7</v>
      </c>
      <c r="G6" s="109">
        <v>56</v>
      </c>
      <c r="H6" s="109">
        <v>57</v>
      </c>
      <c r="I6" s="109">
        <v>61</v>
      </c>
      <c r="J6" s="109">
        <v>50</v>
      </c>
      <c r="K6" s="109">
        <v>237</v>
      </c>
      <c r="L6" s="109">
        <v>58</v>
      </c>
      <c r="M6" s="109">
        <v>191</v>
      </c>
      <c r="N6" s="109">
        <v>236</v>
      </c>
      <c r="O6" s="109">
        <v>229</v>
      </c>
      <c r="P6" s="109">
        <v>228</v>
      </c>
      <c r="Q6" s="109">
        <v>231</v>
      </c>
      <c r="R6" s="109">
        <v>150</v>
      </c>
      <c r="S6" s="109">
        <v>18</v>
      </c>
      <c r="T6" s="109">
        <v>41</v>
      </c>
      <c r="U6" s="109">
        <v>42</v>
      </c>
      <c r="V6" s="109">
        <v>180</v>
      </c>
      <c r="W6" s="109">
        <v>69</v>
      </c>
      <c r="X6" s="109">
        <v>237</v>
      </c>
      <c r="Y6" s="109"/>
      <c r="Z6" s="109">
        <v>292</v>
      </c>
      <c r="AA6" s="109">
        <v>289</v>
      </c>
      <c r="AB6" s="109">
        <v>299</v>
      </c>
      <c r="AC6" s="109">
        <v>227</v>
      </c>
      <c r="AD6" s="109">
        <v>135</v>
      </c>
      <c r="AE6" s="109"/>
      <c r="AF6" s="109"/>
      <c r="AG6" s="109">
        <v>126</v>
      </c>
      <c r="AH6" s="109">
        <v>97</v>
      </c>
    </row>
    <row r="7" spans="1:34" ht="15" customHeight="1" x14ac:dyDescent="0.25">
      <c r="A7" s="108" t="s">
        <v>117</v>
      </c>
      <c r="B7" s="155">
        <v>465</v>
      </c>
      <c r="C7" s="155"/>
      <c r="D7" s="108">
        <v>885</v>
      </c>
      <c r="E7" s="109">
        <v>68</v>
      </c>
      <c r="F7" s="109">
        <v>5</v>
      </c>
      <c r="G7" s="109">
        <v>65</v>
      </c>
      <c r="H7" s="109">
        <v>65</v>
      </c>
      <c r="I7" s="109">
        <v>70</v>
      </c>
      <c r="J7" s="109">
        <v>53</v>
      </c>
      <c r="K7" s="109">
        <v>294</v>
      </c>
      <c r="L7" s="109">
        <v>73</v>
      </c>
      <c r="M7" s="109">
        <v>239</v>
      </c>
      <c r="N7" s="109">
        <v>295</v>
      </c>
      <c r="O7" s="109">
        <v>265</v>
      </c>
      <c r="P7" s="109">
        <v>278</v>
      </c>
      <c r="Q7" s="109">
        <v>282</v>
      </c>
      <c r="R7" s="109">
        <v>154</v>
      </c>
      <c r="S7" s="109">
        <v>26</v>
      </c>
      <c r="T7" s="109">
        <v>48</v>
      </c>
      <c r="U7" s="109">
        <v>89</v>
      </c>
      <c r="V7" s="109">
        <v>238</v>
      </c>
      <c r="W7" s="109">
        <v>78</v>
      </c>
      <c r="X7" s="109"/>
      <c r="Y7" s="109"/>
      <c r="Z7" s="109">
        <v>372</v>
      </c>
      <c r="AA7" s="109">
        <v>372</v>
      </c>
      <c r="AB7" s="109">
        <v>382</v>
      </c>
      <c r="AC7" s="109">
        <v>256</v>
      </c>
      <c r="AD7" s="109">
        <v>196</v>
      </c>
      <c r="AE7" s="109"/>
      <c r="AF7" s="109"/>
      <c r="AG7" s="109">
        <v>168</v>
      </c>
      <c r="AH7" s="109">
        <v>101</v>
      </c>
    </row>
    <row r="8" spans="1:34" ht="15" customHeight="1" x14ac:dyDescent="0.25">
      <c r="A8" s="108" t="s">
        <v>118</v>
      </c>
      <c r="B8" s="155">
        <v>507</v>
      </c>
      <c r="C8" s="155"/>
      <c r="D8" s="108">
        <v>1028</v>
      </c>
      <c r="E8" s="109">
        <v>79</v>
      </c>
      <c r="F8" s="109">
        <v>9</v>
      </c>
      <c r="G8" s="109">
        <v>80</v>
      </c>
      <c r="H8" s="109">
        <v>80</v>
      </c>
      <c r="I8" s="109">
        <v>83</v>
      </c>
      <c r="J8" s="109">
        <v>62</v>
      </c>
      <c r="K8" s="109">
        <v>328</v>
      </c>
      <c r="L8" s="109">
        <v>79</v>
      </c>
      <c r="M8" s="109">
        <v>263</v>
      </c>
      <c r="N8" s="109">
        <v>326</v>
      </c>
      <c r="O8" s="109">
        <v>308</v>
      </c>
      <c r="P8" s="109">
        <v>317</v>
      </c>
      <c r="Q8" s="109">
        <v>306</v>
      </c>
      <c r="R8" s="109">
        <v>181</v>
      </c>
      <c r="S8" s="109">
        <v>25</v>
      </c>
      <c r="T8" s="109">
        <v>78</v>
      </c>
      <c r="U8" s="109">
        <v>67</v>
      </c>
      <c r="V8" s="109">
        <v>259</v>
      </c>
      <c r="W8" s="109">
        <v>84</v>
      </c>
      <c r="X8" s="109"/>
      <c r="Y8" s="109">
        <v>310</v>
      </c>
      <c r="Z8" s="109">
        <v>423</v>
      </c>
      <c r="AA8" s="109">
        <v>420</v>
      </c>
      <c r="AB8" s="109">
        <v>431</v>
      </c>
      <c r="AC8" s="109">
        <v>262</v>
      </c>
      <c r="AD8" s="109">
        <v>228</v>
      </c>
      <c r="AE8" s="109"/>
      <c r="AF8" s="109"/>
      <c r="AG8" s="109">
        <v>202</v>
      </c>
      <c r="AH8" s="109">
        <v>132</v>
      </c>
    </row>
    <row r="9" spans="1:34" ht="15" customHeight="1" x14ac:dyDescent="0.25">
      <c r="A9" s="108" t="s">
        <v>119</v>
      </c>
      <c r="B9" s="155">
        <v>161</v>
      </c>
      <c r="C9" s="155"/>
      <c r="D9" s="108">
        <v>340</v>
      </c>
      <c r="E9" s="109">
        <v>8</v>
      </c>
      <c r="F9" s="109">
        <v>7</v>
      </c>
      <c r="G9" s="109">
        <v>14</v>
      </c>
      <c r="H9" s="109">
        <v>12</v>
      </c>
      <c r="I9" s="109">
        <v>15</v>
      </c>
      <c r="J9" s="109">
        <v>13</v>
      </c>
      <c r="K9" s="109">
        <v>127</v>
      </c>
      <c r="L9" s="109">
        <v>27</v>
      </c>
      <c r="M9" s="109">
        <v>102</v>
      </c>
      <c r="N9" s="109">
        <v>115</v>
      </c>
      <c r="O9" s="109">
        <v>122</v>
      </c>
      <c r="P9" s="109">
        <v>125</v>
      </c>
      <c r="Q9" s="109">
        <v>125</v>
      </c>
      <c r="R9" s="109">
        <v>57</v>
      </c>
      <c r="S9" s="109">
        <v>8</v>
      </c>
      <c r="T9" s="109">
        <v>33</v>
      </c>
      <c r="U9" s="109">
        <v>25</v>
      </c>
      <c r="V9" s="109">
        <v>107</v>
      </c>
      <c r="W9" s="109">
        <v>20</v>
      </c>
      <c r="X9" s="109"/>
      <c r="Y9" s="109"/>
      <c r="Z9" s="109">
        <v>137</v>
      </c>
      <c r="AA9" s="109">
        <v>135</v>
      </c>
      <c r="AB9" s="109">
        <v>138</v>
      </c>
      <c r="AC9" s="109">
        <v>74</v>
      </c>
      <c r="AD9" s="109">
        <v>83</v>
      </c>
      <c r="AE9" s="109">
        <v>123</v>
      </c>
      <c r="AF9" s="109">
        <v>36</v>
      </c>
      <c r="AG9" s="109"/>
      <c r="AH9" s="109"/>
    </row>
    <row r="10" spans="1:34" ht="15" customHeight="1" x14ac:dyDescent="0.25">
      <c r="A10" s="108" t="s">
        <v>156</v>
      </c>
      <c r="B10" s="155">
        <v>59</v>
      </c>
      <c r="C10" s="155"/>
      <c r="D10" s="108">
        <v>122</v>
      </c>
      <c r="E10" s="109">
        <v>4</v>
      </c>
      <c r="F10" s="109">
        <v>0</v>
      </c>
      <c r="G10" s="109">
        <v>4</v>
      </c>
      <c r="H10" s="109">
        <v>4</v>
      </c>
      <c r="I10" s="109">
        <v>4</v>
      </c>
      <c r="J10" s="109">
        <v>4</v>
      </c>
      <c r="K10" s="109">
        <v>49</v>
      </c>
      <c r="L10" s="109">
        <v>13</v>
      </c>
      <c r="M10" s="109">
        <v>39</v>
      </c>
      <c r="N10" s="109">
        <v>50</v>
      </c>
      <c r="O10" s="109">
        <v>49</v>
      </c>
      <c r="P10" s="109">
        <v>49</v>
      </c>
      <c r="Q10" s="109">
        <v>49</v>
      </c>
      <c r="R10" s="109">
        <v>28</v>
      </c>
      <c r="S10" s="109">
        <v>8</v>
      </c>
      <c r="T10" s="109">
        <v>6</v>
      </c>
      <c r="U10" s="109">
        <v>8</v>
      </c>
      <c r="V10" s="109">
        <v>39</v>
      </c>
      <c r="W10" s="109">
        <v>13</v>
      </c>
      <c r="X10" s="109"/>
      <c r="Y10" s="109"/>
      <c r="Z10" s="109">
        <v>52</v>
      </c>
      <c r="AA10" s="109">
        <v>48</v>
      </c>
      <c r="AB10" s="109">
        <v>51</v>
      </c>
      <c r="AC10" s="109">
        <v>29</v>
      </c>
      <c r="AD10" s="109">
        <v>29</v>
      </c>
      <c r="AE10" s="109"/>
      <c r="AF10" s="109"/>
      <c r="AG10" s="109"/>
      <c r="AH10" s="109"/>
    </row>
    <row r="11" spans="1:34" ht="15" customHeight="1" x14ac:dyDescent="0.25">
      <c r="A11" s="108" t="s">
        <v>120</v>
      </c>
      <c r="B11" s="155">
        <v>115</v>
      </c>
      <c r="C11" s="155"/>
      <c r="D11" s="108">
        <v>361</v>
      </c>
      <c r="E11" s="109">
        <v>37</v>
      </c>
      <c r="F11" s="109">
        <v>6</v>
      </c>
      <c r="G11" s="109">
        <v>41</v>
      </c>
      <c r="H11" s="109">
        <v>40</v>
      </c>
      <c r="I11" s="109">
        <v>40</v>
      </c>
      <c r="J11" s="109">
        <v>37</v>
      </c>
      <c r="K11" s="109">
        <v>54</v>
      </c>
      <c r="L11" s="109">
        <v>13</v>
      </c>
      <c r="M11" s="109">
        <v>43</v>
      </c>
      <c r="N11" s="109">
        <v>54</v>
      </c>
      <c r="O11" s="109">
        <v>51</v>
      </c>
      <c r="P11" s="109">
        <v>52</v>
      </c>
      <c r="Q11" s="109">
        <v>50</v>
      </c>
      <c r="R11" s="109">
        <v>13</v>
      </c>
      <c r="S11" s="109">
        <v>8</v>
      </c>
      <c r="T11" s="109">
        <v>15</v>
      </c>
      <c r="U11" s="109">
        <v>18</v>
      </c>
      <c r="V11" s="109">
        <v>38</v>
      </c>
      <c r="W11" s="109">
        <v>16</v>
      </c>
      <c r="X11" s="109"/>
      <c r="Y11" s="109"/>
      <c r="Z11" s="109">
        <v>103</v>
      </c>
      <c r="AA11" s="109">
        <v>101</v>
      </c>
      <c r="AB11" s="109">
        <v>102</v>
      </c>
      <c r="AC11" s="109">
        <v>72</v>
      </c>
      <c r="AD11" s="109">
        <v>37</v>
      </c>
      <c r="AE11" s="109"/>
      <c r="AF11" s="109"/>
      <c r="AG11" s="109"/>
      <c r="AH11" s="109"/>
    </row>
    <row r="12" spans="1:34" ht="15" customHeight="1" x14ac:dyDescent="0.25">
      <c r="A12" s="155" t="s">
        <v>121</v>
      </c>
      <c r="B12" s="155"/>
      <c r="C12" s="155"/>
      <c r="D12" s="155"/>
      <c r="E12" s="109">
        <v>254</v>
      </c>
      <c r="F12" s="109">
        <v>34</v>
      </c>
      <c r="G12" s="109">
        <v>260</v>
      </c>
      <c r="H12" s="109">
        <v>258</v>
      </c>
      <c r="I12" s="109">
        <v>273</v>
      </c>
      <c r="J12" s="109">
        <v>219</v>
      </c>
      <c r="K12" s="109">
        <v>1089</v>
      </c>
      <c r="L12" s="109">
        <v>263</v>
      </c>
      <c r="M12" s="109">
        <v>877</v>
      </c>
      <c r="N12" s="109">
        <v>1076</v>
      </c>
      <c r="O12" s="109">
        <v>1024</v>
      </c>
      <c r="P12" s="109">
        <v>1049</v>
      </c>
      <c r="Q12" s="109">
        <v>1043</v>
      </c>
      <c r="R12" s="109">
        <v>583</v>
      </c>
      <c r="S12" s="109">
        <v>93</v>
      </c>
      <c r="T12" s="109">
        <v>221</v>
      </c>
      <c r="U12" s="109">
        <v>249</v>
      </c>
      <c r="V12" s="109">
        <v>861</v>
      </c>
      <c r="W12" s="109">
        <v>280</v>
      </c>
      <c r="X12" s="109">
        <v>237</v>
      </c>
      <c r="Y12" s="109">
        <v>310</v>
      </c>
      <c r="Z12" s="109">
        <v>1379</v>
      </c>
      <c r="AA12" s="109">
        <v>1365</v>
      </c>
      <c r="AB12" s="109">
        <v>1403</v>
      </c>
      <c r="AC12" s="109">
        <v>920</v>
      </c>
      <c r="AD12" s="109">
        <v>708</v>
      </c>
      <c r="AE12" s="109">
        <v>123</v>
      </c>
      <c r="AF12" s="109">
        <v>36</v>
      </c>
      <c r="AG12" s="109">
        <v>496</v>
      </c>
      <c r="AH12" s="109">
        <v>330</v>
      </c>
    </row>
  </sheetData>
  <mergeCells count="16">
    <mergeCell ref="A1:B1"/>
    <mergeCell ref="E3:F3"/>
    <mergeCell ref="L3:M3"/>
    <mergeCell ref="R3:U3"/>
    <mergeCell ref="V3:W3"/>
    <mergeCell ref="AG3:AH3"/>
    <mergeCell ref="B4:C4"/>
    <mergeCell ref="B6:C6"/>
    <mergeCell ref="B7:C7"/>
    <mergeCell ref="B8:C8"/>
    <mergeCell ref="AC3:AD3"/>
    <mergeCell ref="B9:C9"/>
    <mergeCell ref="B10:C10"/>
    <mergeCell ref="B11:C11"/>
    <mergeCell ref="A12:D12"/>
    <mergeCell ref="AE3:AF3"/>
  </mergeCells>
  <pageMargins left="1" right="1" top="1" bottom="1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760C48-28CC-4CD6-AE83-ADB2EDE99713}"/>
</file>

<file path=customXml/itemProps2.xml><?xml version="1.0" encoding="utf-8"?>
<ds:datastoreItem xmlns:ds="http://schemas.openxmlformats.org/officeDocument/2006/customXml" ds:itemID="{8A7AB596-B3C6-4E46-A694-82F6A3F908D9}"/>
</file>

<file path=customXml/itemProps3.xml><?xml version="1.0" encoding="utf-8"?>
<ds:datastoreItem xmlns:ds="http://schemas.openxmlformats.org/officeDocument/2006/customXml" ds:itemID="{B080134D-667A-4F9A-AF17-8EFCD4D84F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US Sen &amp; Rep</vt:lpstr>
      <vt:lpstr>Sup. Jdg &amp; App, Jdg</vt:lpstr>
      <vt:lpstr>Leg &amp; County</vt:lpstr>
      <vt:lpstr>Co. Sheriff &amp; Pros. Attorney</vt:lpstr>
      <vt:lpstr>Precinct</vt:lpstr>
      <vt:lpstr>Rockland &amp; American Falls</vt:lpstr>
      <vt:lpstr>Hospital Dist.</vt:lpstr>
      <vt:lpstr>TENEX REPORT</vt:lpstr>
      <vt:lpstr>'Leg &amp; County'!Print_Titles</vt:lpstr>
      <vt:lpstr>'Sup. Jdg &amp; App, Jdg'!Print_Titles</vt:lpstr>
      <vt:lpstr>'US Sen &amp; Rep'!Print_Titles</vt:lpstr>
      <vt:lpstr>TenexReport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Sheryl Millard</cp:lastModifiedBy>
  <cp:lastPrinted>2020-06-19T00:22:48Z</cp:lastPrinted>
  <dcterms:created xsi:type="dcterms:W3CDTF">1998-04-10T16:02:13Z</dcterms:created>
  <dcterms:modified xsi:type="dcterms:W3CDTF">2020-06-19T16:34:38Z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1319400</vt:r8>
  </property>
  <property fmtid="{D5CDD505-2E9C-101B-9397-08002B2CF9AE}" pid="4" name="MediaServiceImageTags">
    <vt:lpwstr/>
  </property>
</Properties>
</file>